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correa\Documents\adriana_correa_2019\120_28_3_Plan_de_Accion_2019\Plan_acción_v6\"/>
    </mc:Choice>
  </mc:AlternateContent>
  <bookViews>
    <workbookView xWindow="0" yWindow="0" windowWidth="20490" windowHeight="7665" firstSheet="1" activeTab="1"/>
  </bookViews>
  <sheets>
    <sheet name="Plan de Compras-2013" sheetId="6" state="hidden" r:id="rId1"/>
    <sheet name="Versión 6 " sheetId="18" r:id="rId2"/>
    <sheet name="plan de addquisiciones" sheetId="13" state="hidden" r:id="rId3"/>
    <sheet name="Hoja1" sheetId="14" state="hidden" r:id="rId4"/>
    <sheet name="Hoja2" sheetId="15" state="hidden" r:id="rId5"/>
    <sheet name="formato" sheetId="16" state="hidden" r:id="rId6"/>
  </sheets>
  <externalReferences>
    <externalReference r:id="rId7"/>
    <externalReference r:id="rId8"/>
    <externalReference r:id="rId9"/>
  </externalReferences>
  <definedNames>
    <definedName name="_xlnm._FilterDatabase" localSheetId="0" hidden="1">'Plan de Compras-2013'!$B$17:$AQ$264</definedName>
    <definedName name="_xlnm._FilterDatabase" localSheetId="1" hidden="1">'Versión 6 '!$A$13:$P$53</definedName>
    <definedName name="_xlnm.Print_Area" localSheetId="1">'Versión 6 '!$A$1:$M$58</definedName>
    <definedName name="listas">[1]listas!$C$1:$C$8</definedName>
    <definedName name="_xlnm.Print_Titles" localSheetId="0">'Plan de Compras-2013'!$1:$17</definedName>
    <definedName name="_xlnm.Print_Titles" localSheetId="1">'Versión 6 '!$1:$4</definedName>
  </definedNames>
  <calcPr calcId="162913"/>
</workbook>
</file>

<file path=xl/calcChain.xml><?xml version="1.0" encoding="utf-8"?>
<calcChain xmlns="http://schemas.openxmlformats.org/spreadsheetml/2006/main">
  <c r="J30" i="18" l="1"/>
  <c r="J14" i="18"/>
  <c r="J38" i="18" l="1"/>
  <c r="J33" i="18"/>
  <c r="J24" i="18"/>
  <c r="K32" i="18" l="1"/>
  <c r="K31" i="18"/>
  <c r="K30" i="18"/>
  <c r="K17" i="18" l="1"/>
  <c r="K18" i="18" s="1"/>
  <c r="J21" i="18" l="1"/>
  <c r="L34" i="18" l="1"/>
  <c r="K19" i="18"/>
  <c r="M19" i="18" s="1"/>
  <c r="L50" i="18"/>
  <c r="L51" i="18" s="1"/>
  <c r="K50" i="18"/>
  <c r="K51" i="18" s="1"/>
  <c r="J50" i="18"/>
  <c r="J51" i="18" s="1"/>
  <c r="M49" i="18"/>
  <c r="N42" i="18"/>
  <c r="K39" i="18"/>
  <c r="K40" i="18" s="1"/>
  <c r="J39" i="18"/>
  <c r="M38" i="18"/>
  <c r="L36" i="18"/>
  <c r="L37" i="18" s="1"/>
  <c r="K36" i="18"/>
  <c r="K37" i="18" s="1"/>
  <c r="J35" i="18"/>
  <c r="J36" i="18" s="1"/>
  <c r="K34" i="18"/>
  <c r="J34" i="18"/>
  <c r="N32" i="18"/>
  <c r="J31" i="18"/>
  <c r="N26" i="18"/>
  <c r="K25" i="18"/>
  <c r="K26" i="18" s="1"/>
  <c r="J25" i="18"/>
  <c r="J26" i="18" s="1"/>
  <c r="M24" i="18"/>
  <c r="N23" i="18"/>
  <c r="L23" i="18"/>
  <c r="K22" i="18"/>
  <c r="J22" i="18"/>
  <c r="M21" i="18"/>
  <c r="J20" i="18"/>
  <c r="J18" i="18"/>
  <c r="K15" i="18"/>
  <c r="K16" i="18" s="1"/>
  <c r="J15" i="18"/>
  <c r="J16" i="18" s="1"/>
  <c r="M14" i="18"/>
  <c r="K41" i="18" l="1"/>
  <c r="M22" i="18"/>
  <c r="M39" i="18"/>
  <c r="M18" i="18"/>
  <c r="M51" i="18"/>
  <c r="M26" i="18"/>
  <c r="J40" i="18"/>
  <c r="M40" i="18" s="1"/>
  <c r="M50" i="18"/>
  <c r="K52" i="18"/>
  <c r="L52" i="18"/>
  <c r="L53" i="18" s="1"/>
  <c r="N27" i="18"/>
  <c r="J23" i="18"/>
  <c r="J27" i="18" s="1"/>
  <c r="M17" i="18"/>
  <c r="K20" i="18"/>
  <c r="M20" i="18" s="1"/>
  <c r="M31" i="18"/>
  <c r="J32" i="18"/>
  <c r="M16" i="18"/>
  <c r="M36" i="18"/>
  <c r="J37" i="18"/>
  <c r="M15" i="18"/>
  <c r="M25" i="18"/>
  <c r="M35" i="18"/>
  <c r="M30" i="18"/>
  <c r="M33" i="18"/>
  <c r="M34" i="18" s="1"/>
  <c r="M37" i="18" s="1"/>
  <c r="J41" i="18" l="1"/>
  <c r="M41" i="18" s="1"/>
  <c r="K23" i="18"/>
  <c r="K27" i="18" s="1"/>
  <c r="K42" i="18" s="1"/>
  <c r="M23" i="18"/>
  <c r="J52" i="18"/>
  <c r="M52" i="18" s="1"/>
  <c r="M32" i="18"/>
  <c r="M27" i="18" l="1"/>
  <c r="M42" i="18" s="1"/>
  <c r="J42" i="18"/>
  <c r="J53" i="18" s="1"/>
  <c r="K53" i="18" l="1"/>
  <c r="M53" i="18" s="1"/>
  <c r="M48" i="16"/>
  <c r="L48" i="16"/>
  <c r="K48" i="16"/>
  <c r="N48" i="16"/>
  <c r="N47" i="16"/>
  <c r="M46" i="16"/>
  <c r="M49" i="16"/>
  <c r="M50" i="16"/>
  <c r="M51" i="16"/>
  <c r="L46" i="16"/>
  <c r="L49" i="16"/>
  <c r="L50" i="16"/>
  <c r="K46" i="16"/>
  <c r="N46" i="16"/>
  <c r="N45" i="16"/>
  <c r="L36" i="16"/>
  <c r="K35" i="16"/>
  <c r="N35" i="16"/>
  <c r="N34" i="16"/>
  <c r="L32" i="16"/>
  <c r="K32" i="16"/>
  <c r="N31" i="16"/>
  <c r="N32" i="16"/>
  <c r="L30" i="16"/>
  <c r="K30" i="16"/>
  <c r="N29" i="16"/>
  <c r="L27" i="16"/>
  <c r="L28" i="16"/>
  <c r="K27" i="16"/>
  <c r="K28" i="16"/>
  <c r="N26" i="16"/>
  <c r="L23" i="16"/>
  <c r="K23" i="16"/>
  <c r="N23" i="16"/>
  <c r="N22" i="16"/>
  <c r="L20" i="16"/>
  <c r="K20" i="16"/>
  <c r="N19" i="16"/>
  <c r="N20" i="16"/>
  <c r="L18" i="16"/>
  <c r="K18" i="16"/>
  <c r="L16" i="16"/>
  <c r="K16" i="16"/>
  <c r="N15" i="16"/>
  <c r="L13" i="16"/>
  <c r="L14" i="16"/>
  <c r="K13" i="16"/>
  <c r="K14" i="16"/>
  <c r="N30" i="16"/>
  <c r="N33" i="16"/>
  <c r="L33" i="16"/>
  <c r="L37" i="16"/>
  <c r="K33" i="16"/>
  <c r="K37" i="16"/>
  <c r="N37" i="16"/>
  <c r="N27" i="16"/>
  <c r="K24" i="16"/>
  <c r="N24" i="16"/>
  <c r="N18" i="16"/>
  <c r="N21" i="16"/>
  <c r="K21" i="16"/>
  <c r="L21" i="16"/>
  <c r="L25" i="16"/>
  <c r="N16" i="16"/>
  <c r="N14" i="16"/>
  <c r="N13" i="16"/>
  <c r="K36" i="16"/>
  <c r="N36" i="16"/>
  <c r="N28" i="16"/>
  <c r="K49" i="16"/>
  <c r="K50" i="16"/>
  <c r="L38" i="16"/>
  <c r="L51" i="16"/>
  <c r="L54" i="14"/>
  <c r="P45" i="14"/>
  <c r="N45" i="14"/>
  <c r="Q43" i="14"/>
  <c r="Q45" i="14"/>
  <c r="P43" i="14"/>
  <c r="O43" i="14"/>
  <c r="N43" i="14"/>
  <c r="M43" i="14"/>
  <c r="L43" i="14"/>
  <c r="K43" i="14"/>
  <c r="I43" i="14"/>
  <c r="G43" i="14"/>
  <c r="F43" i="14"/>
  <c r="E43" i="14"/>
  <c r="D43" i="14"/>
  <c r="K42" i="14"/>
  <c r="O41" i="14"/>
  <c r="R41" i="14"/>
  <c r="R43" i="14"/>
  <c r="K41" i="14"/>
  <c r="R40" i="14"/>
  <c r="Q40" i="14"/>
  <c r="P40" i="14"/>
  <c r="O40" i="14"/>
  <c r="N40" i="14"/>
  <c r="M40" i="14"/>
  <c r="J40" i="14"/>
  <c r="F40" i="14"/>
  <c r="E40" i="14"/>
  <c r="K39" i="14"/>
  <c r="K38" i="14"/>
  <c r="K37" i="14"/>
  <c r="L36" i="14"/>
  <c r="K36" i="14"/>
  <c r="I36" i="14"/>
  <c r="G36" i="14"/>
  <c r="D36" i="14"/>
  <c r="L35" i="14"/>
  <c r="I35" i="14"/>
  <c r="G35" i="14"/>
  <c r="D35" i="14"/>
  <c r="R34" i="14"/>
  <c r="O34" i="14"/>
  <c r="L34" i="14"/>
  <c r="L40" i="14"/>
  <c r="K34" i="14"/>
  <c r="I34" i="14"/>
  <c r="G34" i="14"/>
  <c r="G40" i="14"/>
  <c r="D34" i="14"/>
  <c r="D40" i="14"/>
  <c r="Q33" i="14"/>
  <c r="P33" i="14"/>
  <c r="N33" i="14"/>
  <c r="M33" i="14"/>
  <c r="M45" i="14"/>
  <c r="K33" i="14"/>
  <c r="J33" i="14"/>
  <c r="J44" i="14"/>
  <c r="I33" i="14"/>
  <c r="G33" i="14"/>
  <c r="F33" i="14"/>
  <c r="E33" i="14"/>
  <c r="D33" i="14"/>
  <c r="K32" i="14"/>
  <c r="O31" i="14"/>
  <c r="L31" i="14"/>
  <c r="L33" i="14"/>
  <c r="I31" i="14"/>
  <c r="K31" i="14"/>
  <c r="G31" i="14"/>
  <c r="D31" i="14"/>
  <c r="R29" i="14"/>
  <c r="Q29" i="14"/>
  <c r="P29" i="14"/>
  <c r="N29" i="14"/>
  <c r="M29" i="14"/>
  <c r="L29" i="14"/>
  <c r="J29" i="14"/>
  <c r="F29" i="14"/>
  <c r="E29" i="14"/>
  <c r="K28" i="14"/>
  <c r="R27" i="14"/>
  <c r="O27" i="14"/>
  <c r="L27" i="14"/>
  <c r="K27" i="14"/>
  <c r="I27" i="14"/>
  <c r="G27" i="14"/>
  <c r="G29" i="14"/>
  <c r="D27" i="14"/>
  <c r="D29" i="14"/>
  <c r="R26" i="14"/>
  <c r="O26" i="14"/>
  <c r="O29" i="14"/>
  <c r="L26" i="14"/>
  <c r="I26" i="14"/>
  <c r="I29" i="14"/>
  <c r="G26" i="14"/>
  <c r="Q25" i="14"/>
  <c r="P25" i="14"/>
  <c r="O25" i="14"/>
  <c r="N25" i="14"/>
  <c r="M25" i="14"/>
  <c r="F25" i="14"/>
  <c r="G24" i="14"/>
  <c r="G25" i="14"/>
  <c r="D24" i="14"/>
  <c r="I24" i="14"/>
  <c r="L23" i="14"/>
  <c r="K23" i="14"/>
  <c r="K22" i="14"/>
  <c r="L21" i="14"/>
  <c r="K21" i="14"/>
  <c r="K20" i="14"/>
  <c r="L19" i="14"/>
  <c r="I19" i="14"/>
  <c r="D19" i="14"/>
  <c r="R18" i="14"/>
  <c r="O18" i="14"/>
  <c r="J18" i="14"/>
  <c r="G18" i="14"/>
  <c r="D18" i="14"/>
  <c r="L18" i="14"/>
  <c r="R17" i="14"/>
  <c r="R25" i="14"/>
  <c r="K17" i="14"/>
  <c r="R16" i="14"/>
  <c r="K16" i="14"/>
  <c r="D16" i="14"/>
  <c r="Q15" i="14"/>
  <c r="P15" i="14"/>
  <c r="N15" i="14"/>
  <c r="M15" i="14"/>
  <c r="J15" i="14"/>
  <c r="G15" i="14"/>
  <c r="F15" i="14"/>
  <c r="E15" i="14"/>
  <c r="K14" i="14"/>
  <c r="O13" i="14"/>
  <c r="R13" i="14"/>
  <c r="R15" i="14"/>
  <c r="K13" i="14"/>
  <c r="K15" i="14"/>
  <c r="I13" i="14"/>
  <c r="G13" i="14"/>
  <c r="D13" i="14"/>
  <c r="D15" i="14"/>
  <c r="Q12" i="14"/>
  <c r="P12" i="14"/>
  <c r="N12" i="14"/>
  <c r="J12" i="14"/>
  <c r="F12" i="14"/>
  <c r="E12" i="14"/>
  <c r="G11" i="14"/>
  <c r="I11" i="14"/>
  <c r="K11" i="14"/>
  <c r="D11" i="14"/>
  <c r="R10" i="14"/>
  <c r="O10" i="14"/>
  <c r="L10" i="14"/>
  <c r="K10" i="14"/>
  <c r="D10" i="14"/>
  <c r="D12" i="14"/>
  <c r="R9" i="14"/>
  <c r="O9" i="14"/>
  <c r="K9" i="14"/>
  <c r="G9" i="14"/>
  <c r="I9" i="14"/>
  <c r="L9" i="14"/>
  <c r="D9" i="14"/>
  <c r="R8" i="14"/>
  <c r="O8" i="14"/>
  <c r="I8" i="14"/>
  <c r="G8" i="14"/>
  <c r="D8" i="14"/>
  <c r="R7" i="14"/>
  <c r="O7" i="14"/>
  <c r="G7" i="14"/>
  <c r="I7" i="14"/>
  <c r="D7" i="14"/>
  <c r="R6" i="14"/>
  <c r="O6" i="14"/>
  <c r="G6" i="14"/>
  <c r="I6" i="14"/>
  <c r="D6" i="14"/>
  <c r="R5" i="14"/>
  <c r="O5" i="14"/>
  <c r="L5" i="14"/>
  <c r="K5" i="14"/>
  <c r="I5" i="14"/>
  <c r="G5" i="14"/>
  <c r="G12" i="14"/>
  <c r="D5" i="14"/>
  <c r="U82" i="13"/>
  <c r="X81" i="13"/>
  <c r="V81" i="13"/>
  <c r="S81" i="13"/>
  <c r="AD79" i="13"/>
  <c r="AC79" i="13"/>
  <c r="AB79" i="13"/>
  <c r="AA79" i="13"/>
  <c r="Z79" i="13"/>
  <c r="Y79" i="13"/>
  <c r="X79" i="13"/>
  <c r="X80" i="13"/>
  <c r="W79" i="13"/>
  <c r="W80" i="13"/>
  <c r="W81" i="13"/>
  <c r="V79" i="13"/>
  <c r="V80" i="13"/>
  <c r="U79" i="13"/>
  <c r="S79" i="13"/>
  <c r="R79" i="13"/>
  <c r="R80" i="13"/>
  <c r="T78" i="13"/>
  <c r="T77" i="13"/>
  <c r="T76" i="13"/>
  <c r="T75" i="13"/>
  <c r="T74" i="13"/>
  <c r="T73" i="13"/>
  <c r="T72" i="13"/>
  <c r="T71" i="13"/>
  <c r="T79" i="13"/>
  <c r="F71" i="13"/>
  <c r="E71" i="13"/>
  <c r="D71" i="13"/>
  <c r="C71" i="13"/>
  <c r="B71" i="13"/>
  <c r="S70" i="13"/>
  <c r="S80" i="13"/>
  <c r="R70" i="13"/>
  <c r="T70" i="13"/>
  <c r="T69" i="13"/>
  <c r="T68" i="13"/>
  <c r="T67" i="13"/>
  <c r="T66" i="13"/>
  <c r="T65" i="13"/>
  <c r="T64" i="13"/>
  <c r="T63" i="13"/>
  <c r="T62" i="13"/>
  <c r="T61" i="13"/>
  <c r="T60" i="13"/>
  <c r="T59" i="13"/>
  <c r="T58" i="13"/>
  <c r="T57" i="13"/>
  <c r="T56" i="13"/>
  <c r="T55" i="13"/>
  <c r="T54" i="13"/>
  <c r="T53" i="13"/>
  <c r="T52" i="13"/>
  <c r="T51" i="13"/>
  <c r="T50" i="13"/>
  <c r="T49" i="13"/>
  <c r="F49" i="13"/>
  <c r="A49" i="13"/>
  <c r="A71" i="13"/>
  <c r="V47" i="13"/>
  <c r="AC40" i="13"/>
  <c r="AB40" i="13"/>
  <c r="AD40" i="13"/>
  <c r="W40" i="13"/>
  <c r="V40" i="13"/>
  <c r="R40" i="13"/>
  <c r="X39" i="13"/>
  <c r="X40" i="13"/>
  <c r="W39" i="13"/>
  <c r="V39" i="13"/>
  <c r="S39" i="13"/>
  <c r="T38" i="13"/>
  <c r="F38" i="13"/>
  <c r="AC37" i="13"/>
  <c r="W37" i="13"/>
  <c r="V37" i="13"/>
  <c r="R37" i="13"/>
  <c r="AD36" i="13"/>
  <c r="X36" i="13"/>
  <c r="W36" i="13"/>
  <c r="V36" i="13"/>
  <c r="T36" i="13"/>
  <c r="S36" i="13"/>
  <c r="S37" i="13"/>
  <c r="T37" i="13"/>
  <c r="T35" i="13"/>
  <c r="F35" i="13"/>
  <c r="AB34" i="13"/>
  <c r="AD34" i="13"/>
  <c r="AD37" i="13"/>
  <c r="X34" i="13"/>
  <c r="W34" i="13"/>
  <c r="V34" i="13"/>
  <c r="T34" i="13"/>
  <c r="F33" i="13"/>
  <c r="X32" i="13"/>
  <c r="T32" i="13"/>
  <c r="S32" i="13"/>
  <c r="R32" i="13"/>
  <c r="R41" i="13"/>
  <c r="AC31" i="13"/>
  <c r="AB31" i="13"/>
  <c r="X31" i="13"/>
  <c r="W31" i="13"/>
  <c r="W32" i="13"/>
  <c r="V31" i="13"/>
  <c r="V32" i="13"/>
  <c r="V41" i="13"/>
  <c r="T31" i="13"/>
  <c r="T30" i="13"/>
  <c r="F30" i="13"/>
  <c r="AD29" i="13"/>
  <c r="AC29" i="13"/>
  <c r="AC28" i="13"/>
  <c r="V28" i="13"/>
  <c r="S28" i="13"/>
  <c r="T28" i="13"/>
  <c r="R28" i="13"/>
  <c r="AD27" i="13"/>
  <c r="X27" i="13"/>
  <c r="W27" i="13"/>
  <c r="W28" i="13"/>
  <c r="X28" i="13"/>
  <c r="V27" i="13"/>
  <c r="S27" i="13"/>
  <c r="T27" i="13"/>
  <c r="K26" i="13"/>
  <c r="F26" i="13"/>
  <c r="AD25" i="13"/>
  <c r="AC25" i="13"/>
  <c r="AB25" i="13"/>
  <c r="V25" i="13"/>
  <c r="R25" i="13"/>
  <c r="X24" i="13"/>
  <c r="W24" i="13"/>
  <c r="W25" i="13"/>
  <c r="W29" i="13"/>
  <c r="V24" i="13"/>
  <c r="T24" i="13"/>
  <c r="S24" i="13"/>
  <c r="S25" i="13"/>
  <c r="T25" i="13"/>
  <c r="T23" i="13"/>
  <c r="K23" i="13"/>
  <c r="F23" i="13"/>
  <c r="T22" i="13"/>
  <c r="K21" i="13"/>
  <c r="F21" i="13"/>
  <c r="T20" i="13"/>
  <c r="T19" i="13"/>
  <c r="K19" i="13"/>
  <c r="F19" i="13"/>
  <c r="W18" i="13"/>
  <c r="V18" i="13"/>
  <c r="V29" i="13"/>
  <c r="S18" i="13"/>
  <c r="R18" i="13"/>
  <c r="AD17" i="13"/>
  <c r="X17" i="13"/>
  <c r="X18" i="13"/>
  <c r="W17" i="13"/>
  <c r="V17" i="13"/>
  <c r="T17" i="13"/>
  <c r="S17" i="13"/>
  <c r="T16" i="13"/>
  <c r="K16" i="13"/>
  <c r="F16" i="13"/>
  <c r="A16" i="13"/>
  <c r="T263" i="6"/>
  <c r="AF261" i="6"/>
  <c r="U261" i="6"/>
  <c r="U262" i="6"/>
  <c r="S261" i="6"/>
  <c r="S262" i="6"/>
  <c r="R261" i="6"/>
  <c r="P261" i="6"/>
  <c r="AG260" i="6"/>
  <c r="AG261" i="6"/>
  <c r="AF260" i="6"/>
  <c r="Y260" i="6"/>
  <c r="Y261" i="6"/>
  <c r="X260" i="6"/>
  <c r="X261" i="6"/>
  <c r="V260" i="6"/>
  <c r="U260" i="6"/>
  <c r="S260" i="6"/>
  <c r="R260" i="6"/>
  <c r="P260" i="6"/>
  <c r="Q260" i="6"/>
  <c r="Q261" i="6"/>
  <c r="O260" i="6"/>
  <c r="O261" i="6"/>
  <c r="Z259" i="6"/>
  <c r="AH259" i="6"/>
  <c r="W259" i="6"/>
  <c r="W260" i="6"/>
  <c r="W261" i="6"/>
  <c r="Q259" i="6"/>
  <c r="V258" i="6"/>
  <c r="T258" i="6"/>
  <c r="P258" i="6"/>
  <c r="P262" i="6"/>
  <c r="AG257" i="6"/>
  <c r="AG258" i="6"/>
  <c r="AG262" i="6"/>
  <c r="AF257" i="6"/>
  <c r="AF258" i="6"/>
  <c r="AF262" i="6"/>
  <c r="Y257" i="6"/>
  <c r="Y258" i="6"/>
  <c r="Y262" i="6"/>
  <c r="V257" i="6"/>
  <c r="U257" i="6"/>
  <c r="U258" i="6"/>
  <c r="T257" i="6"/>
  <c r="S257" i="6"/>
  <c r="S258" i="6"/>
  <c r="R257" i="6"/>
  <c r="R258" i="6"/>
  <c r="P257" i="6"/>
  <c r="Z256" i="6"/>
  <c r="X256" i="6"/>
  <c r="W256" i="6"/>
  <c r="O256" i="6"/>
  <c r="X255" i="6"/>
  <c r="Z255" i="6"/>
  <c r="AH255" i="6"/>
  <c r="W255" i="6"/>
  <c r="Q255" i="6"/>
  <c r="X254" i="6"/>
  <c r="Z254" i="6"/>
  <c r="W254" i="6"/>
  <c r="O254" i="6"/>
  <c r="Z253" i="6"/>
  <c r="AH253" i="6"/>
  <c r="X253" i="6"/>
  <c r="W253" i="6"/>
  <c r="X252" i="6"/>
  <c r="Z252" i="6"/>
  <c r="W252" i="6"/>
  <c r="X251" i="6"/>
  <c r="Z251" i="6"/>
  <c r="AH251" i="6"/>
  <c r="W251" i="6"/>
  <c r="Z250" i="6"/>
  <c r="X250" i="6"/>
  <c r="W250" i="6"/>
  <c r="Q250" i="6"/>
  <c r="Q257" i="6"/>
  <c r="Q258" i="6"/>
  <c r="O250" i="6"/>
  <c r="O257" i="6"/>
  <c r="O258" i="6"/>
  <c r="S249" i="6"/>
  <c r="S263" i="6"/>
  <c r="Z248" i="6"/>
  <c r="AD248" i="6"/>
  <c r="X248" i="6"/>
  <c r="V248" i="6"/>
  <c r="U248" i="6"/>
  <c r="S248" i="6"/>
  <c r="R248" i="6"/>
  <c r="P248" i="6"/>
  <c r="O248" i="6"/>
  <c r="Q248" i="6"/>
  <c r="W248" i="6"/>
  <c r="AG247" i="6"/>
  <c r="AG248" i="6"/>
  <c r="AF247" i="6"/>
  <c r="AF248" i="6"/>
  <c r="AF249" i="6"/>
  <c r="Y247" i="6"/>
  <c r="Y248" i="6"/>
  <c r="Y249" i="6"/>
  <c r="X247" i="6"/>
  <c r="Z247" i="6"/>
  <c r="O247" i="6"/>
  <c r="Z246" i="6"/>
  <c r="W246" i="6"/>
  <c r="O246" i="6"/>
  <c r="Z245" i="6"/>
  <c r="AH245" i="6"/>
  <c r="V245" i="6"/>
  <c r="Q245" i="6"/>
  <c r="Q247" i="6"/>
  <c r="O245" i="6"/>
  <c r="D245" i="6"/>
  <c r="C245" i="6"/>
  <c r="B245" i="6"/>
  <c r="Y244" i="6"/>
  <c r="U244" i="6"/>
  <c r="S244" i="6"/>
  <c r="R244" i="6"/>
  <c r="AG243" i="6"/>
  <c r="AG244" i="6"/>
  <c r="AG249" i="6"/>
  <c r="AF243" i="6"/>
  <c r="AF244" i="6"/>
  <c r="Y243" i="6"/>
  <c r="X243" i="6"/>
  <c r="U243" i="6"/>
  <c r="V243" i="6"/>
  <c r="S243" i="6"/>
  <c r="R243" i="6"/>
  <c r="Z242" i="6"/>
  <c r="W242" i="6"/>
  <c r="Q242" i="6"/>
  <c r="O242" i="6"/>
  <c r="Z241" i="6"/>
  <c r="AH241" i="6"/>
  <c r="W241" i="6"/>
  <c r="O241" i="6"/>
  <c r="Q241" i="6"/>
  <c r="Z240" i="6"/>
  <c r="O240" i="6"/>
  <c r="W240" i="6"/>
  <c r="Z239" i="6"/>
  <c r="AH239" i="6"/>
  <c r="W239" i="6"/>
  <c r="Q239" i="6"/>
  <c r="AH238" i="6"/>
  <c r="Z238" i="6"/>
  <c r="Q238" i="6"/>
  <c r="W238" i="6"/>
  <c r="O238" i="6"/>
  <c r="Z237" i="6"/>
  <c r="AH237" i="6"/>
  <c r="Q237" i="6"/>
  <c r="W237" i="6"/>
  <c r="Z236" i="6"/>
  <c r="W236" i="6"/>
  <c r="Q236" i="6"/>
  <c r="O236" i="6"/>
  <c r="Z235" i="6"/>
  <c r="AH235" i="6"/>
  <c r="Q235" i="6"/>
  <c r="W235" i="6"/>
  <c r="AH234" i="6"/>
  <c r="Z234" i="6"/>
  <c r="W234" i="6"/>
  <c r="Q234" i="6"/>
  <c r="Z233" i="6"/>
  <c r="AH233" i="6"/>
  <c r="O233" i="6"/>
  <c r="Q233" i="6"/>
  <c r="W233" i="6"/>
  <c r="Z232" i="6"/>
  <c r="AH232" i="6"/>
  <c r="Q232" i="6"/>
  <c r="W232" i="6"/>
  <c r="Z231" i="6"/>
  <c r="W231" i="6"/>
  <c r="AH230" i="6"/>
  <c r="Z230" i="6"/>
  <c r="W230" i="6"/>
  <c r="AH229" i="6"/>
  <c r="Z229" i="6"/>
  <c r="V229" i="6"/>
  <c r="O229" i="6"/>
  <c r="V228" i="6"/>
  <c r="U228" i="6"/>
  <c r="S228" i="6"/>
  <c r="R228" i="6"/>
  <c r="P228" i="6"/>
  <c r="V227" i="6"/>
  <c r="AG226" i="6"/>
  <c r="AF226" i="6"/>
  <c r="Y226" i="6"/>
  <c r="Z226" i="6"/>
  <c r="X226" i="6"/>
  <c r="V226" i="6"/>
  <c r="U226" i="6"/>
  <c r="T226" i="6"/>
  <c r="S226" i="6"/>
  <c r="R226" i="6"/>
  <c r="Q226" i="6"/>
  <c r="P226" i="6"/>
  <c r="Z225" i="6"/>
  <c r="W225" i="6"/>
  <c r="V225" i="6"/>
  <c r="O225" i="6"/>
  <c r="Q225" i="6"/>
  <c r="Z224" i="6"/>
  <c r="O224" i="6"/>
  <c r="AH223" i="6"/>
  <c r="Z223" i="6"/>
  <c r="W223" i="6"/>
  <c r="Z222" i="6"/>
  <c r="AH222" i="6"/>
  <c r="W222" i="6"/>
  <c r="O222" i="6"/>
  <c r="Q222" i="6"/>
  <c r="Z221" i="6"/>
  <c r="AH221" i="6"/>
  <c r="W221" i="6"/>
  <c r="O221" i="6"/>
  <c r="Q221" i="6"/>
  <c r="AH220" i="6"/>
  <c r="Z220" i="6"/>
  <c r="O220" i="6"/>
  <c r="Q220" i="6"/>
  <c r="W220" i="6"/>
  <c r="AG219" i="6"/>
  <c r="AF219" i="6"/>
  <c r="Y219" i="6"/>
  <c r="X219" i="6"/>
  <c r="X227" i="6"/>
  <c r="X228" i="6"/>
  <c r="V219" i="6"/>
  <c r="U219" i="6"/>
  <c r="T219" i="6"/>
  <c r="S219" i="6"/>
  <c r="R219" i="6"/>
  <c r="P219" i="6"/>
  <c r="O219" i="6"/>
  <c r="AH218" i="6"/>
  <c r="Z218" i="6"/>
  <c r="W218" i="6"/>
  <c r="Z217" i="6"/>
  <c r="AH217" i="6"/>
  <c r="W217" i="6"/>
  <c r="Z216" i="6"/>
  <c r="W216" i="6"/>
  <c r="W219" i="6"/>
  <c r="Q216" i="6"/>
  <c r="O216" i="6"/>
  <c r="Z215" i="6"/>
  <c r="AH215" i="6"/>
  <c r="W215" i="6"/>
  <c r="Q215" i="6"/>
  <c r="Q219" i="6"/>
  <c r="F215" i="6"/>
  <c r="E215" i="6"/>
  <c r="AG214" i="6"/>
  <c r="AG227" i="6"/>
  <c r="AG228" i="6"/>
  <c r="AF214" i="6"/>
  <c r="AF227" i="6"/>
  <c r="AF228" i="6"/>
  <c r="Y214" i="6"/>
  <c r="X214" i="6"/>
  <c r="V214" i="6"/>
  <c r="U214" i="6"/>
  <c r="T214" i="6"/>
  <c r="S214" i="6"/>
  <c r="R214" i="6"/>
  <c r="P214" i="6"/>
  <c r="Z213" i="6"/>
  <c r="W213" i="6"/>
  <c r="O213" i="6"/>
  <c r="Z212" i="6"/>
  <c r="AH212" i="6"/>
  <c r="W212" i="6"/>
  <c r="Q212" i="6"/>
  <c r="Z211" i="6"/>
  <c r="O211" i="6"/>
  <c r="Z210" i="6"/>
  <c r="O210" i="6"/>
  <c r="W210" i="6"/>
  <c r="AH209" i="6"/>
  <c r="Z209" i="6"/>
  <c r="W209" i="6"/>
  <c r="Q209" i="6"/>
  <c r="Z208" i="6"/>
  <c r="O208" i="6"/>
  <c r="Q208" i="6"/>
  <c r="W208" i="6"/>
  <c r="Z207" i="6"/>
  <c r="Q207" i="6"/>
  <c r="AH206" i="6"/>
  <c r="Z206" i="6"/>
  <c r="O206" i="6"/>
  <c r="Q206" i="6"/>
  <c r="W206" i="6"/>
  <c r="B206" i="6"/>
  <c r="AG204" i="6"/>
  <c r="V204" i="6"/>
  <c r="U204" i="6"/>
  <c r="T204" i="6"/>
  <c r="S204" i="6"/>
  <c r="R204" i="6"/>
  <c r="AG203" i="6"/>
  <c r="AF203" i="6"/>
  <c r="AF204" i="6"/>
  <c r="Y203" i="6"/>
  <c r="Y204" i="6"/>
  <c r="X203" i="6"/>
  <c r="X204" i="6"/>
  <c r="Z204" i="6"/>
  <c r="AD204" i="6"/>
  <c r="W203" i="6"/>
  <c r="W204" i="6"/>
  <c r="V203" i="6"/>
  <c r="U203" i="6"/>
  <c r="S203" i="6"/>
  <c r="R203" i="6"/>
  <c r="P203" i="6"/>
  <c r="P204" i="6"/>
  <c r="O203" i="6"/>
  <c r="O204" i="6"/>
  <c r="AH202" i="6"/>
  <c r="Z202" i="6"/>
  <c r="W202" i="6"/>
  <c r="AH201" i="6"/>
  <c r="Z201" i="6"/>
  <c r="W201" i="6"/>
  <c r="Z200" i="6"/>
  <c r="W200" i="6"/>
  <c r="Q200" i="6"/>
  <c r="O200" i="6"/>
  <c r="Z199" i="6"/>
  <c r="O199" i="6"/>
  <c r="Q199" i="6"/>
  <c r="Z198" i="6"/>
  <c r="W198" i="6"/>
  <c r="Q198" i="6"/>
  <c r="O198" i="6"/>
  <c r="Z197" i="6"/>
  <c r="AH197" i="6"/>
  <c r="O197" i="6"/>
  <c r="W197" i="6"/>
  <c r="Z196" i="6"/>
  <c r="Q196" i="6"/>
  <c r="W196" i="6"/>
  <c r="O196" i="6"/>
  <c r="Z195" i="6"/>
  <c r="AH195" i="6"/>
  <c r="Q195" i="6"/>
  <c r="W195" i="6"/>
  <c r="C195" i="6"/>
  <c r="AF194" i="6"/>
  <c r="Y194" i="6"/>
  <c r="X194" i="6"/>
  <c r="U194" i="6"/>
  <c r="S194" i="6"/>
  <c r="P194" i="6"/>
  <c r="AG193" i="6"/>
  <c r="AG194" i="6"/>
  <c r="AF193" i="6"/>
  <c r="X193" i="6"/>
  <c r="U193" i="6"/>
  <c r="T193" i="6"/>
  <c r="S193" i="6"/>
  <c r="R193" i="6"/>
  <c r="R194" i="6"/>
  <c r="V194" i="6"/>
  <c r="P193" i="6"/>
  <c r="Z192" i="6"/>
  <c r="AH192" i="6"/>
  <c r="Q192" i="6"/>
  <c r="W192" i="6"/>
  <c r="Z191" i="6"/>
  <c r="V191" i="6"/>
  <c r="Q191" i="6"/>
  <c r="O191" i="6"/>
  <c r="AH190" i="6"/>
  <c r="Z190" i="6"/>
  <c r="V190" i="6"/>
  <c r="W190" i="6"/>
  <c r="Q190" i="6"/>
  <c r="Z189" i="6"/>
  <c r="AH189" i="6"/>
  <c r="W189" i="6"/>
  <c r="O189" i="6"/>
  <c r="Z188" i="6"/>
  <c r="AH188" i="6"/>
  <c r="V188" i="6"/>
  <c r="Q188" i="6"/>
  <c r="W188" i="6"/>
  <c r="O188" i="6"/>
  <c r="AH187" i="6"/>
  <c r="Z187" i="6"/>
  <c r="V187" i="6"/>
  <c r="Q187" i="6"/>
  <c r="W187" i="6"/>
  <c r="O187" i="6"/>
  <c r="Z186" i="6"/>
  <c r="AH186" i="6"/>
  <c r="W186" i="6"/>
  <c r="AH185" i="6"/>
  <c r="Z185" i="6"/>
  <c r="W185" i="6"/>
  <c r="Z184" i="6"/>
  <c r="V184" i="6"/>
  <c r="O184" i="6"/>
  <c r="Q184" i="6"/>
  <c r="W184" i="6"/>
  <c r="V183" i="6"/>
  <c r="V193" i="6"/>
  <c r="R183" i="6"/>
  <c r="Y183" i="6"/>
  <c r="Y193" i="6"/>
  <c r="Z193" i="6"/>
  <c r="Q183" i="6"/>
  <c r="O183" i="6"/>
  <c r="C183" i="6"/>
  <c r="B183" i="6"/>
  <c r="B195" i="6"/>
  <c r="AF182" i="6"/>
  <c r="AF205" i="6"/>
  <c r="Y182" i="6"/>
  <c r="Y205" i="6"/>
  <c r="X182" i="6"/>
  <c r="P182" i="6"/>
  <c r="AG181" i="6"/>
  <c r="AG182" i="6"/>
  <c r="AF181" i="6"/>
  <c r="Z181" i="6"/>
  <c r="Y181" i="6"/>
  <c r="X181" i="6"/>
  <c r="V181" i="6"/>
  <c r="V182" i="6"/>
  <c r="V205" i="6"/>
  <c r="U181" i="6"/>
  <c r="U182" i="6"/>
  <c r="T181" i="6"/>
  <c r="T182" i="6"/>
  <c r="T205" i="6"/>
  <c r="S181" i="6"/>
  <c r="S182" i="6"/>
  <c r="S205" i="6"/>
  <c r="R181" i="6"/>
  <c r="R182" i="6"/>
  <c r="R205" i="6"/>
  <c r="P181" i="6"/>
  <c r="Z180" i="6"/>
  <c r="AH180" i="6"/>
  <c r="W180" i="6"/>
  <c r="Z179" i="6"/>
  <c r="AH179" i="6"/>
  <c r="W179" i="6"/>
  <c r="Q179" i="6"/>
  <c r="AH178" i="6"/>
  <c r="Z178" i="6"/>
  <c r="O178" i="6"/>
  <c r="W178" i="6"/>
  <c r="Z177" i="6"/>
  <c r="AH177" i="6"/>
  <c r="Q177" i="6"/>
  <c r="W177" i="6"/>
  <c r="O177" i="6"/>
  <c r="Z176" i="6"/>
  <c r="AH176" i="6"/>
  <c r="W176" i="6"/>
  <c r="Q176" i="6"/>
  <c r="Z175" i="6"/>
  <c r="AH175" i="6"/>
  <c r="W175" i="6"/>
  <c r="AH174" i="6"/>
  <c r="Z174" i="6"/>
  <c r="W174" i="6"/>
  <c r="AH173" i="6"/>
  <c r="Z173" i="6"/>
  <c r="O173" i="6"/>
  <c r="W173" i="6"/>
  <c r="Z172" i="6"/>
  <c r="W172" i="6"/>
  <c r="O172" i="6"/>
  <c r="Z171" i="6"/>
  <c r="W171" i="6"/>
  <c r="Z170" i="6"/>
  <c r="AH170" i="6"/>
  <c r="W170" i="6"/>
  <c r="AH169" i="6"/>
  <c r="Z169" i="6"/>
  <c r="W169" i="6"/>
  <c r="Z168" i="6"/>
  <c r="AH168" i="6"/>
  <c r="W168" i="6"/>
  <c r="Z167" i="6"/>
  <c r="AH167" i="6"/>
  <c r="W167" i="6"/>
  <c r="Z166" i="6"/>
  <c r="O166" i="6"/>
  <c r="Z165" i="6"/>
  <c r="W165" i="6"/>
  <c r="Q165" i="6"/>
  <c r="O165" i="6"/>
  <c r="AH164" i="6"/>
  <c r="Z164" i="6"/>
  <c r="W164" i="6"/>
  <c r="AH163" i="6"/>
  <c r="Z163" i="6"/>
  <c r="W163" i="6"/>
  <c r="Z162" i="6"/>
  <c r="W162" i="6"/>
  <c r="Q162" i="6"/>
  <c r="O162" i="6"/>
  <c r="Z161" i="6"/>
  <c r="AH161" i="6"/>
  <c r="W161" i="6"/>
  <c r="Q161" i="6"/>
  <c r="Z159" i="6"/>
  <c r="X159" i="6"/>
  <c r="U159" i="6"/>
  <c r="P159" i="6"/>
  <c r="O159" i="6"/>
  <c r="Z158" i="6"/>
  <c r="Y158" i="6"/>
  <c r="Y159" i="6"/>
  <c r="X158" i="6"/>
  <c r="U158" i="6"/>
  <c r="T158" i="6"/>
  <c r="T159" i="6"/>
  <c r="S158" i="6"/>
  <c r="S159" i="6"/>
  <c r="R158" i="6"/>
  <c r="R159" i="6"/>
  <c r="P158" i="6"/>
  <c r="O158" i="6"/>
  <c r="Z157" i="6"/>
  <c r="V157" i="6"/>
  <c r="Q157" i="6"/>
  <c r="W157" i="6"/>
  <c r="Z156" i="6"/>
  <c r="AH156" i="6"/>
  <c r="V156" i="6"/>
  <c r="Q156" i="6"/>
  <c r="Z155" i="6"/>
  <c r="AH155" i="6"/>
  <c r="V155" i="6"/>
  <c r="Q155" i="6"/>
  <c r="AF154" i="6"/>
  <c r="AG154" i="6"/>
  <c r="AG158" i="6"/>
  <c r="AG159" i="6"/>
  <c r="Z154" i="6"/>
  <c r="AH154" i="6"/>
  <c r="V154" i="6"/>
  <c r="Q154" i="6"/>
  <c r="W154" i="6"/>
  <c r="P153" i="6"/>
  <c r="P160" i="6"/>
  <c r="Y152" i="6"/>
  <c r="X152" i="6"/>
  <c r="Z152" i="6"/>
  <c r="V152" i="6"/>
  <c r="U152" i="6"/>
  <c r="U153" i="6"/>
  <c r="U160" i="6"/>
  <c r="T152" i="6"/>
  <c r="S152" i="6"/>
  <c r="R152" i="6"/>
  <c r="P152" i="6"/>
  <c r="AH151" i="6"/>
  <c r="AF151" i="6"/>
  <c r="AF152" i="6"/>
  <c r="Z151" i="6"/>
  <c r="O151" i="6"/>
  <c r="W151" i="6"/>
  <c r="Z150" i="6"/>
  <c r="O150" i="6"/>
  <c r="Q150" i="6"/>
  <c r="W150" i="6"/>
  <c r="Z149" i="6"/>
  <c r="O149" i="6"/>
  <c r="Q149" i="6"/>
  <c r="W149" i="6"/>
  <c r="Z148" i="6"/>
  <c r="W148" i="6"/>
  <c r="O148" i="6"/>
  <c r="AH147" i="6"/>
  <c r="Z147" i="6"/>
  <c r="W147" i="6"/>
  <c r="Q147" i="6"/>
  <c r="Z146" i="6"/>
  <c r="W146" i="6"/>
  <c r="Q146" i="6"/>
  <c r="Z145" i="6"/>
  <c r="W145" i="6"/>
  <c r="Q145" i="6"/>
  <c r="O145" i="6"/>
  <c r="Z144" i="6"/>
  <c r="AH144" i="6"/>
  <c r="Q144" i="6"/>
  <c r="W144" i="6"/>
  <c r="O144" i="6"/>
  <c r="Z143" i="6"/>
  <c r="AH143" i="6"/>
  <c r="W143" i="6"/>
  <c r="Q143" i="6"/>
  <c r="Z142" i="6"/>
  <c r="AH142" i="6"/>
  <c r="W142" i="6"/>
  <c r="Q142" i="6"/>
  <c r="Z141" i="6"/>
  <c r="AH141" i="6"/>
  <c r="O141" i="6"/>
  <c r="Q141" i="6"/>
  <c r="E141" i="6"/>
  <c r="AG140" i="6"/>
  <c r="AF140" i="6"/>
  <c r="Y140" i="6"/>
  <c r="Z140" i="6"/>
  <c r="AD140" i="6"/>
  <c r="X140" i="6"/>
  <c r="W140" i="6"/>
  <c r="P140" i="6"/>
  <c r="O140" i="6"/>
  <c r="Q140" i="6"/>
  <c r="AH139" i="6"/>
  <c r="Z139" i="6"/>
  <c r="W139" i="6"/>
  <c r="V139" i="6"/>
  <c r="AH138" i="6"/>
  <c r="Z138" i="6"/>
  <c r="V138" i="6"/>
  <c r="W138" i="6"/>
  <c r="AH137" i="6"/>
  <c r="Z137" i="6"/>
  <c r="V137" i="6"/>
  <c r="W137" i="6"/>
  <c r="R137" i="6"/>
  <c r="R140" i="6"/>
  <c r="R153" i="6"/>
  <c r="R160" i="6"/>
  <c r="Z136" i="6"/>
  <c r="AH136" i="6"/>
  <c r="V136" i="6"/>
  <c r="W136" i="6"/>
  <c r="Z135" i="6"/>
  <c r="AH135" i="6"/>
  <c r="W135" i="6"/>
  <c r="V135" i="6"/>
  <c r="R135" i="6"/>
  <c r="Z134" i="6"/>
  <c r="AH134" i="6"/>
  <c r="W134" i="6"/>
  <c r="V134" i="6"/>
  <c r="Z133" i="6"/>
  <c r="W133" i="6"/>
  <c r="V133" i="6"/>
  <c r="Z132" i="6"/>
  <c r="AH132" i="6"/>
  <c r="W132" i="6"/>
  <c r="V132" i="6"/>
  <c r="Z131" i="6"/>
  <c r="AH131" i="6"/>
  <c r="W131" i="6"/>
  <c r="V131" i="6"/>
  <c r="Z130" i="6"/>
  <c r="AH130" i="6"/>
  <c r="V130" i="6"/>
  <c r="W130" i="6"/>
  <c r="Z129" i="6"/>
  <c r="AH129" i="6"/>
  <c r="W129" i="6"/>
  <c r="V129" i="6"/>
  <c r="Z128" i="6"/>
  <c r="AH128" i="6"/>
  <c r="V128" i="6"/>
  <c r="V140" i="6"/>
  <c r="Z127" i="6"/>
  <c r="AH127" i="6"/>
  <c r="W127" i="6"/>
  <c r="V127" i="6"/>
  <c r="D127" i="6"/>
  <c r="D141" i="6"/>
  <c r="C127" i="6"/>
  <c r="C141" i="6"/>
  <c r="AG126" i="6"/>
  <c r="AF126" i="6"/>
  <c r="Y126" i="6"/>
  <c r="X126" i="6"/>
  <c r="Z126" i="6"/>
  <c r="V126" i="6"/>
  <c r="U126" i="6"/>
  <c r="S126" i="6"/>
  <c r="R126" i="6"/>
  <c r="P126" i="6"/>
  <c r="O126" i="6"/>
  <c r="Z125" i="6"/>
  <c r="V125" i="6"/>
  <c r="W125" i="6"/>
  <c r="AH124" i="6"/>
  <c r="Z124" i="6"/>
  <c r="V124" i="6"/>
  <c r="W124" i="6"/>
  <c r="AH123" i="6"/>
  <c r="Z123" i="6"/>
  <c r="V123" i="6"/>
  <c r="W123" i="6"/>
  <c r="AH122" i="6"/>
  <c r="Z122" i="6"/>
  <c r="V122" i="6"/>
  <c r="W122" i="6"/>
  <c r="AH121" i="6"/>
  <c r="Z121" i="6"/>
  <c r="W121" i="6"/>
  <c r="V121" i="6"/>
  <c r="AH120" i="6"/>
  <c r="Z120" i="6"/>
  <c r="V120" i="6"/>
  <c r="W120" i="6"/>
  <c r="AH119" i="6"/>
  <c r="Z119" i="6"/>
  <c r="V119" i="6"/>
  <c r="W119" i="6"/>
  <c r="Y118" i="6"/>
  <c r="Z118" i="6"/>
  <c r="AD118" i="6"/>
  <c r="X118" i="6"/>
  <c r="W118" i="6"/>
  <c r="V118" i="6"/>
  <c r="U118" i="6"/>
  <c r="T118" i="6"/>
  <c r="S118" i="6"/>
  <c r="S153" i="6"/>
  <c r="S160" i="6"/>
  <c r="R118" i="6"/>
  <c r="Q118" i="6"/>
  <c r="O118" i="6"/>
  <c r="AF117" i="6"/>
  <c r="Z117" i="6"/>
  <c r="W117" i="6"/>
  <c r="R117" i="6"/>
  <c r="Q117" i="6"/>
  <c r="P117" i="6"/>
  <c r="AH116" i="6"/>
  <c r="AF116" i="6"/>
  <c r="AF118" i="6"/>
  <c r="Z116" i="6"/>
  <c r="AG116" i="6"/>
  <c r="AG118" i="6"/>
  <c r="V116" i="6"/>
  <c r="Q116" i="6"/>
  <c r="W116" i="6"/>
  <c r="F116" i="6"/>
  <c r="F127" i="6"/>
  <c r="F141" i="6"/>
  <c r="E116" i="6"/>
  <c r="E127" i="6"/>
  <c r="D116" i="6"/>
  <c r="C116" i="6"/>
  <c r="AE115" i="6"/>
  <c r="Y115" i="6"/>
  <c r="X115" i="6"/>
  <c r="Z115" i="6"/>
  <c r="U115" i="6"/>
  <c r="T115" i="6"/>
  <c r="S115" i="6"/>
  <c r="R115" i="6"/>
  <c r="P115" i="6"/>
  <c r="AF114" i="6"/>
  <c r="Z114" i="6"/>
  <c r="W114" i="6"/>
  <c r="AF113" i="6"/>
  <c r="AF115" i="6"/>
  <c r="Z113" i="6"/>
  <c r="AG113" i="6"/>
  <c r="W113" i="6"/>
  <c r="Z112" i="6"/>
  <c r="W112" i="6"/>
  <c r="Z111" i="6"/>
  <c r="R111" i="6"/>
  <c r="V111" i="6"/>
  <c r="Q111" i="6"/>
  <c r="O111" i="6"/>
  <c r="Z110" i="6"/>
  <c r="V110" i="6"/>
  <c r="Q110" i="6"/>
  <c r="O110" i="6"/>
  <c r="W110" i="6"/>
  <c r="Z109" i="6"/>
  <c r="W109" i="6"/>
  <c r="V109" i="6"/>
  <c r="R109" i="6"/>
  <c r="Q109" i="6"/>
  <c r="Z108" i="6"/>
  <c r="V108" i="6"/>
  <c r="O108" i="6"/>
  <c r="W108" i="6"/>
  <c r="AH107" i="6"/>
  <c r="Z107" i="6"/>
  <c r="V107" i="6"/>
  <c r="Q107" i="6"/>
  <c r="O107" i="6"/>
  <c r="W107" i="6"/>
  <c r="AH106" i="6"/>
  <c r="Z106" i="6"/>
  <c r="V106" i="6"/>
  <c r="O106" i="6"/>
  <c r="AH105" i="6"/>
  <c r="Z105" i="6"/>
  <c r="W105" i="6"/>
  <c r="V105" i="6"/>
  <c r="Q105" i="6"/>
  <c r="Z104" i="6"/>
  <c r="AH104" i="6"/>
  <c r="W104" i="6"/>
  <c r="V104" i="6"/>
  <c r="Q104" i="6"/>
  <c r="AH103" i="6"/>
  <c r="Z103" i="6"/>
  <c r="V103" i="6"/>
  <c r="O103" i="6"/>
  <c r="AH102" i="6"/>
  <c r="Z102" i="6"/>
  <c r="W102" i="6"/>
  <c r="V102" i="6"/>
  <c r="Q102" i="6"/>
  <c r="Z101" i="6"/>
  <c r="AH101" i="6"/>
  <c r="W101" i="6"/>
  <c r="V101" i="6"/>
  <c r="Q101" i="6"/>
  <c r="AF100" i="6"/>
  <c r="AF153" i="6"/>
  <c r="Y100" i="6"/>
  <c r="X100" i="6"/>
  <c r="Z100" i="6"/>
  <c r="V100" i="6"/>
  <c r="T100" i="6"/>
  <c r="S100" i="6"/>
  <c r="R100" i="6"/>
  <c r="O100" i="6"/>
  <c r="Q100" i="6"/>
  <c r="W100" i="6"/>
  <c r="AH99" i="6"/>
  <c r="AG99" i="6"/>
  <c r="AG100" i="6"/>
  <c r="AF99" i="6"/>
  <c r="Z99" i="6"/>
  <c r="W99" i="6"/>
  <c r="V99" i="6"/>
  <c r="Q99" i="6"/>
  <c r="AE98" i="6"/>
  <c r="U97" i="6"/>
  <c r="R97" i="6"/>
  <c r="V97" i="6"/>
  <c r="P97" i="6"/>
  <c r="AF96" i="6"/>
  <c r="AF97" i="6"/>
  <c r="AG97" i="6"/>
  <c r="Y96" i="6"/>
  <c r="Y97" i="6"/>
  <c r="X96" i="6"/>
  <c r="U96" i="6"/>
  <c r="T96" i="6"/>
  <c r="T97" i="6"/>
  <c r="S96" i="6"/>
  <c r="S97" i="6"/>
  <c r="P96" i="6"/>
  <c r="Z95" i="6"/>
  <c r="R95" i="6"/>
  <c r="R96" i="6"/>
  <c r="V96" i="6"/>
  <c r="O95" i="6"/>
  <c r="Q95" i="6"/>
  <c r="AH94" i="6"/>
  <c r="Z94" i="6"/>
  <c r="V94" i="6"/>
  <c r="Q94" i="6"/>
  <c r="W94" i="6"/>
  <c r="AF93" i="6"/>
  <c r="AG93" i="6"/>
  <c r="AG96" i="6"/>
  <c r="Z93" i="6"/>
  <c r="AH93" i="6"/>
  <c r="W93" i="6"/>
  <c r="Z92" i="6"/>
  <c r="AH92" i="6"/>
  <c r="V92" i="6"/>
  <c r="O92" i="6"/>
  <c r="Y90" i="6"/>
  <c r="Z90" i="6"/>
  <c r="X90" i="6"/>
  <c r="T90" i="6"/>
  <c r="S90" i="6"/>
  <c r="Q90" i="6"/>
  <c r="P90" i="6"/>
  <c r="O90" i="6"/>
  <c r="AH89" i="6"/>
  <c r="Z89" i="6"/>
  <c r="R89" i="6"/>
  <c r="W89" i="6"/>
  <c r="AH88" i="6"/>
  <c r="Z88" i="6"/>
  <c r="W88" i="6"/>
  <c r="Z87" i="6"/>
  <c r="W87" i="6"/>
  <c r="R87" i="6"/>
  <c r="Z86" i="6"/>
  <c r="AH86" i="6"/>
  <c r="W86" i="6"/>
  <c r="Z85" i="6"/>
  <c r="R85" i="6"/>
  <c r="W85" i="6"/>
  <c r="AH84" i="6"/>
  <c r="Z84" i="6"/>
  <c r="W84" i="6"/>
  <c r="Z83" i="6"/>
  <c r="W83" i="6"/>
  <c r="AH82" i="6"/>
  <c r="Z82" i="6"/>
  <c r="W82" i="6"/>
  <c r="Z81" i="6"/>
  <c r="R81" i="6"/>
  <c r="W81" i="6"/>
  <c r="Z80" i="6"/>
  <c r="AH80" i="6"/>
  <c r="W80" i="6"/>
  <c r="G80" i="6"/>
  <c r="Z79" i="6"/>
  <c r="AH78" i="6"/>
  <c r="Z78" i="6"/>
  <c r="W78" i="6"/>
  <c r="Z77" i="6"/>
  <c r="W77" i="6"/>
  <c r="R77" i="6"/>
  <c r="Z76" i="6"/>
  <c r="AH76" i="6"/>
  <c r="W76" i="6"/>
  <c r="Z75" i="6"/>
  <c r="W75" i="6"/>
  <c r="R75" i="6"/>
  <c r="AH74" i="6"/>
  <c r="Z74" i="6"/>
  <c r="W74" i="6"/>
  <c r="Z73" i="6"/>
  <c r="W73" i="6"/>
  <c r="R73" i="6"/>
  <c r="AH72" i="6"/>
  <c r="Z72" i="6"/>
  <c r="W72" i="6"/>
  <c r="Z71" i="6"/>
  <c r="R71" i="6"/>
  <c r="W71" i="6"/>
  <c r="AH70" i="6"/>
  <c r="Z70" i="6"/>
  <c r="W70" i="6"/>
  <c r="Z69" i="6"/>
  <c r="W69" i="6"/>
  <c r="R69" i="6"/>
  <c r="Z68" i="6"/>
  <c r="AH68" i="6"/>
  <c r="W68" i="6"/>
  <c r="AQ67" i="6"/>
  <c r="Z67" i="6"/>
  <c r="R67" i="6"/>
  <c r="U67" i="6"/>
  <c r="V67" i="6"/>
  <c r="W67" i="6"/>
  <c r="AH66" i="6"/>
  <c r="Z66" i="6"/>
  <c r="W66" i="6"/>
  <c r="V66" i="6"/>
  <c r="U66" i="6"/>
  <c r="Z65" i="6"/>
  <c r="R65" i="6"/>
  <c r="W65" i="6"/>
  <c r="AH64" i="6"/>
  <c r="Z64" i="6"/>
  <c r="W64" i="6"/>
  <c r="Z63" i="6"/>
  <c r="R63" i="6"/>
  <c r="U63" i="6"/>
  <c r="V63" i="6"/>
  <c r="W63" i="6"/>
  <c r="AH62" i="6"/>
  <c r="AF62" i="6"/>
  <c r="AF90" i="6"/>
  <c r="Z62" i="6"/>
  <c r="AG62" i="6"/>
  <c r="W62" i="6"/>
  <c r="Z61" i="6"/>
  <c r="AG61" i="6"/>
  <c r="V61" i="6"/>
  <c r="V90" i="6"/>
  <c r="U61" i="6"/>
  <c r="Q61" i="6"/>
  <c r="W61" i="6"/>
  <c r="W90" i="6"/>
  <c r="Y60" i="6"/>
  <c r="X60" i="6"/>
  <c r="Z60" i="6"/>
  <c r="V60" i="6"/>
  <c r="U60" i="6"/>
  <c r="T60" i="6"/>
  <c r="S60" i="6"/>
  <c r="R60" i="6"/>
  <c r="Q60" i="6"/>
  <c r="P60" i="6"/>
  <c r="Z59" i="6"/>
  <c r="W59" i="6"/>
  <c r="AH58" i="6"/>
  <c r="Z58" i="6"/>
  <c r="O58" i="6"/>
  <c r="O60" i="6"/>
  <c r="B58" i="6"/>
  <c r="Y57" i="6"/>
  <c r="Z57" i="6"/>
  <c r="X57" i="6"/>
  <c r="V57" i="6"/>
  <c r="U57" i="6"/>
  <c r="T57" i="6"/>
  <c r="S57" i="6"/>
  <c r="R57" i="6"/>
  <c r="Q57" i="6"/>
  <c r="P57" i="6"/>
  <c r="P91" i="6"/>
  <c r="P98" i="6"/>
  <c r="Z56" i="6"/>
  <c r="AH56" i="6"/>
  <c r="O56" i="6"/>
  <c r="W56" i="6"/>
  <c r="Z55" i="6"/>
  <c r="AH55" i="6"/>
  <c r="W55" i="6"/>
  <c r="Z54" i="6"/>
  <c r="W54" i="6"/>
  <c r="Z53" i="6"/>
  <c r="AH53" i="6"/>
  <c r="W53" i="6"/>
  <c r="AH52" i="6"/>
  <c r="Z52" i="6"/>
  <c r="W52" i="6"/>
  <c r="AH51" i="6"/>
  <c r="Z51" i="6"/>
  <c r="W51" i="6"/>
  <c r="AH50" i="6"/>
  <c r="Z50" i="6"/>
  <c r="W50" i="6"/>
  <c r="Z49" i="6"/>
  <c r="AH49" i="6"/>
  <c r="W49" i="6"/>
  <c r="Z48" i="6"/>
  <c r="AH48" i="6"/>
  <c r="W48" i="6"/>
  <c r="O48" i="6"/>
  <c r="Z47" i="6"/>
  <c r="AH47" i="6"/>
  <c r="W47" i="6"/>
  <c r="Z46" i="6"/>
  <c r="O46" i="6"/>
  <c r="O57" i="6"/>
  <c r="Z45" i="6"/>
  <c r="AH45" i="6"/>
  <c r="W45" i="6"/>
  <c r="Z44" i="6"/>
  <c r="AH44" i="6"/>
  <c r="W44" i="6"/>
  <c r="C44" i="6"/>
  <c r="C58" i="6"/>
  <c r="B44" i="6"/>
  <c r="Y43" i="6"/>
  <c r="X43" i="6"/>
  <c r="Z43" i="6"/>
  <c r="U43" i="6"/>
  <c r="V43" i="6"/>
  <c r="T43" i="6"/>
  <c r="S43" i="6"/>
  <c r="R43" i="6"/>
  <c r="Q43" i="6"/>
  <c r="P43" i="6"/>
  <c r="O43" i="6"/>
  <c r="W43" i="6"/>
  <c r="AH42" i="6"/>
  <c r="AG42" i="6"/>
  <c r="AF42" i="6"/>
  <c r="Z42" i="6"/>
  <c r="V42" i="6"/>
  <c r="W42" i="6"/>
  <c r="AG41" i="6"/>
  <c r="AF41" i="6"/>
  <c r="Z41" i="6"/>
  <c r="AH41" i="6"/>
  <c r="W41" i="6"/>
  <c r="V41" i="6"/>
  <c r="AF40" i="6"/>
  <c r="AG40" i="6"/>
  <c r="Z40" i="6"/>
  <c r="AH40" i="6"/>
  <c r="V40" i="6"/>
  <c r="W40" i="6"/>
  <c r="AH39" i="6"/>
  <c r="AF39" i="6"/>
  <c r="AG39" i="6"/>
  <c r="Z39" i="6"/>
  <c r="V39" i="6"/>
  <c r="W39" i="6"/>
  <c r="AH38" i="6"/>
  <c r="AF38" i="6"/>
  <c r="AF43" i="6"/>
  <c r="AF91" i="6"/>
  <c r="Z38" i="6"/>
  <c r="V38" i="6"/>
  <c r="W38" i="6"/>
  <c r="F38" i="6"/>
  <c r="F44" i="6"/>
  <c r="F58" i="6"/>
  <c r="E38" i="6"/>
  <c r="D38" i="6"/>
  <c r="D61" i="6"/>
  <c r="D80" i="6"/>
  <c r="C38" i="6"/>
  <c r="C61" i="6"/>
  <c r="C80" i="6"/>
  <c r="B38" i="6"/>
  <c r="B61" i="6"/>
  <c r="Y37" i="6"/>
  <c r="X37" i="6"/>
  <c r="Z37" i="6"/>
  <c r="W37" i="6"/>
  <c r="V37" i="6"/>
  <c r="U37" i="6"/>
  <c r="T37" i="6"/>
  <c r="S37" i="6"/>
  <c r="R37" i="6"/>
  <c r="P37" i="6"/>
  <c r="O37" i="6"/>
  <c r="Z36" i="6"/>
  <c r="AH36" i="6"/>
  <c r="W36" i="6"/>
  <c r="Q36" i="6"/>
  <c r="Z35" i="6"/>
  <c r="AH35" i="6"/>
  <c r="Q35" i="6"/>
  <c r="W35" i="6"/>
  <c r="Z34" i="6"/>
  <c r="AH34" i="6"/>
  <c r="W34" i="6"/>
  <c r="Q34" i="6"/>
  <c r="Z33" i="6"/>
  <c r="AH33" i="6"/>
  <c r="W33" i="6"/>
  <c r="Q33" i="6"/>
  <c r="AH32" i="6"/>
  <c r="Z32" i="6"/>
  <c r="W32" i="6"/>
  <c r="Q32" i="6"/>
  <c r="Z31" i="6"/>
  <c r="AH31" i="6"/>
  <c r="W31" i="6"/>
  <c r="Q31" i="6"/>
  <c r="Z30" i="6"/>
  <c r="AH30" i="6"/>
  <c r="W30" i="6"/>
  <c r="Q30" i="6"/>
  <c r="Z29" i="6"/>
  <c r="AH29" i="6"/>
  <c r="Q29" i="6"/>
  <c r="Q37" i="6"/>
  <c r="F29" i="6"/>
  <c r="E29" i="6"/>
  <c r="D29" i="6"/>
  <c r="C29" i="6"/>
  <c r="B29" i="6"/>
  <c r="Y28" i="6"/>
  <c r="Y91" i="6"/>
  <c r="X28" i="6"/>
  <c r="Z28" i="6"/>
  <c r="AD28" i="6"/>
  <c r="V28" i="6"/>
  <c r="U28" i="6"/>
  <c r="T28" i="6"/>
  <c r="S28" i="6"/>
  <c r="S91" i="6"/>
  <c r="S98" i="6"/>
  <c r="S264" i="6"/>
  <c r="R28" i="6"/>
  <c r="Q28" i="6"/>
  <c r="P28" i="6"/>
  <c r="O28" i="6"/>
  <c r="AH27" i="6"/>
  <c r="Z27" i="6"/>
  <c r="Q27" i="6"/>
  <c r="W27" i="6"/>
  <c r="AH26" i="6"/>
  <c r="Z26" i="6"/>
  <c r="W26" i="6"/>
  <c r="W28" i="6"/>
  <c r="Q26" i="6"/>
  <c r="Y25" i="6"/>
  <c r="X25" i="6"/>
  <c r="Z25" i="6"/>
  <c r="V25" i="6"/>
  <c r="U25" i="6"/>
  <c r="S25" i="6"/>
  <c r="R25" i="6"/>
  <c r="P25" i="6"/>
  <c r="O25" i="6"/>
  <c r="Z24" i="6"/>
  <c r="AH24" i="6"/>
  <c r="W24" i="6"/>
  <c r="W25" i="6"/>
  <c r="Q24" i="6"/>
  <c r="Q25" i="6"/>
  <c r="Y23" i="6"/>
  <c r="X23" i="6"/>
  <c r="Z23" i="6"/>
  <c r="V23" i="6"/>
  <c r="U23" i="6"/>
  <c r="T23" i="6"/>
  <c r="T91" i="6"/>
  <c r="S23" i="6"/>
  <c r="R23" i="6"/>
  <c r="P23" i="6"/>
  <c r="AH22" i="6"/>
  <c r="Z22" i="6"/>
  <c r="W22" i="6"/>
  <c r="W21" i="6"/>
  <c r="O21" i="6"/>
  <c r="Q21" i="6"/>
  <c r="W20" i="6"/>
  <c r="Q20" i="6"/>
  <c r="O20" i="6"/>
  <c r="O19" i="6"/>
  <c r="Q19" i="6"/>
  <c r="W19" i="6"/>
  <c r="O18" i="6"/>
  <c r="Q18" i="6"/>
  <c r="X15" i="6"/>
  <c r="AF98" i="6"/>
  <c r="B92" i="6"/>
  <c r="B99" i="6"/>
  <c r="B116" i="6"/>
  <c r="B127" i="6"/>
  <c r="B141" i="6"/>
  <c r="B80" i="6"/>
  <c r="AD25" i="6"/>
  <c r="AD90" i="6"/>
  <c r="Y98" i="6"/>
  <c r="W224" i="6"/>
  <c r="O226" i="6"/>
  <c r="X244" i="6"/>
  <c r="Z243" i="6"/>
  <c r="V261" i="6"/>
  <c r="O96" i="6"/>
  <c r="Q92" i="6"/>
  <c r="AD100" i="6"/>
  <c r="O152" i="6"/>
  <c r="O181" i="6"/>
  <c r="O182" i="6"/>
  <c r="AD31" i="13"/>
  <c r="AB32" i="13"/>
  <c r="O33" i="14"/>
  <c r="R31" i="14"/>
  <c r="R33" i="14"/>
  <c r="K25" i="16"/>
  <c r="W29" i="6"/>
  <c r="E61" i="6"/>
  <c r="E80" i="6"/>
  <c r="E44" i="6"/>
  <c r="E58" i="6"/>
  <c r="U90" i="6"/>
  <c r="O214" i="6"/>
  <c r="O227" i="6"/>
  <c r="W211" i="6"/>
  <c r="X257" i="6"/>
  <c r="W18" i="6"/>
  <c r="W23" i="6"/>
  <c r="Q23" i="6"/>
  <c r="Q91" i="6"/>
  <c r="R29" i="13"/>
  <c r="T18" i="13"/>
  <c r="S40" i="13"/>
  <c r="T40" i="13"/>
  <c r="T39" i="13"/>
  <c r="V91" i="6"/>
  <c r="V98" i="6"/>
  <c r="AD37" i="6"/>
  <c r="AG90" i="6"/>
  <c r="X91" i="6"/>
  <c r="Q108" i="6"/>
  <c r="W111" i="6"/>
  <c r="AH114" i="6"/>
  <c r="AG114" i="6"/>
  <c r="AG115" i="6"/>
  <c r="AG153" i="6"/>
  <c r="AG160" i="6"/>
  <c r="Q158" i="6"/>
  <c r="Q159" i="6"/>
  <c r="W155" i="6"/>
  <c r="AG205" i="6"/>
  <c r="O193" i="6"/>
  <c r="Q203" i="6"/>
  <c r="Q204" i="6"/>
  <c r="Z203" i="6"/>
  <c r="AD203" i="6"/>
  <c r="W226" i="6"/>
  <c r="AD226" i="6"/>
  <c r="Z260" i="6"/>
  <c r="AD260" i="6"/>
  <c r="S41" i="13"/>
  <c r="T41" i="13"/>
  <c r="T98" i="6"/>
  <c r="AD43" i="6"/>
  <c r="X97" i="6"/>
  <c r="Z97" i="6"/>
  <c r="Z96" i="6"/>
  <c r="W103" i="6"/>
  <c r="W115" i="6"/>
  <c r="AD115" i="6"/>
  <c r="Q103" i="6"/>
  <c r="Q115" i="6"/>
  <c r="Q126" i="6"/>
  <c r="W126" i="6"/>
  <c r="X153" i="6"/>
  <c r="V158" i="6"/>
  <c r="V159" i="6"/>
  <c r="W158" i="6"/>
  <c r="W159" i="6"/>
  <c r="AD158" i="6"/>
  <c r="P205" i="6"/>
  <c r="P264" i="6"/>
  <c r="V244" i="6"/>
  <c r="R249" i="6"/>
  <c r="X29" i="13"/>
  <c r="V42" i="13"/>
  <c r="R81" i="13"/>
  <c r="T81" i="13"/>
  <c r="T80" i="13"/>
  <c r="K6" i="14"/>
  <c r="K12" i="14"/>
  <c r="L6" i="14"/>
  <c r="L11" i="14"/>
  <c r="K18" i="14"/>
  <c r="J25" i="14"/>
  <c r="J30" i="14"/>
  <c r="J45" i="14"/>
  <c r="E45" i="14"/>
  <c r="V82" i="13"/>
  <c r="O15" i="14"/>
  <c r="D44" i="6"/>
  <c r="D58" i="6"/>
  <c r="AD159" i="6"/>
  <c r="O23" i="6"/>
  <c r="O91" i="6"/>
  <c r="AG38" i="6"/>
  <c r="AG43" i="6"/>
  <c r="AG91" i="6"/>
  <c r="AG98" i="6"/>
  <c r="W58" i="6"/>
  <c r="W60" i="6"/>
  <c r="AD60" i="6"/>
  <c r="V95" i="6"/>
  <c r="W95" i="6"/>
  <c r="O115" i="6"/>
  <c r="W128" i="6"/>
  <c r="AG151" i="6"/>
  <c r="AG152" i="6"/>
  <c r="V153" i="6"/>
  <c r="V160" i="6"/>
  <c r="AF158" i="6"/>
  <c r="AF159" i="6"/>
  <c r="AF160" i="6"/>
  <c r="AH193" i="6"/>
  <c r="W207" i="6"/>
  <c r="W214" i="6"/>
  <c r="Q214" i="6"/>
  <c r="Y263" i="6"/>
  <c r="X41" i="13"/>
  <c r="X37" i="13"/>
  <c r="L8" i="14"/>
  <c r="K8" i="14"/>
  <c r="F45" i="14"/>
  <c r="W106" i="6"/>
  <c r="Q106" i="6"/>
  <c r="W141" i="6"/>
  <c r="W152" i="6"/>
  <c r="AD152" i="6"/>
  <c r="Q152" i="6"/>
  <c r="O243" i="6"/>
  <c r="Q229" i="6"/>
  <c r="W229" i="6"/>
  <c r="U91" i="6"/>
  <c r="U98" i="6"/>
  <c r="AD126" i="6"/>
  <c r="V115" i="6"/>
  <c r="F61" i="6"/>
  <c r="F80" i="6"/>
  <c r="AO67" i="6"/>
  <c r="R90" i="6"/>
  <c r="R91" i="6"/>
  <c r="R98" i="6"/>
  <c r="R264" i="6"/>
  <c r="C92" i="6"/>
  <c r="AH126" i="6"/>
  <c r="Z182" i="6"/>
  <c r="I12" i="14"/>
  <c r="G45" i="14"/>
  <c r="W166" i="6"/>
  <c r="W181" i="6"/>
  <c r="W182" i="6"/>
  <c r="Q166" i="6"/>
  <c r="Q181" i="6"/>
  <c r="Q182" i="6"/>
  <c r="U205" i="6"/>
  <c r="Z183" i="6"/>
  <c r="Z194" i="6"/>
  <c r="Z219" i="6"/>
  <c r="AD219" i="6"/>
  <c r="Z261" i="6"/>
  <c r="AD261" i="6"/>
  <c r="S29" i="13"/>
  <c r="S42" i="13"/>
  <c r="S82" i="13"/>
  <c r="W41" i="13"/>
  <c r="W42" i="13"/>
  <c r="W82" i="13"/>
  <c r="D25" i="14"/>
  <c r="D45" i="14"/>
  <c r="K35" i="14"/>
  <c r="K40" i="14"/>
  <c r="I40" i="14"/>
  <c r="Y153" i="6"/>
  <c r="Y160" i="6"/>
  <c r="U249" i="6"/>
  <c r="U263" i="6"/>
  <c r="O262" i="6"/>
  <c r="Q262" i="6"/>
  <c r="W262" i="6"/>
  <c r="AB37" i="13"/>
  <c r="W46" i="6"/>
  <c r="W57" i="6"/>
  <c r="AD57" i="6"/>
  <c r="W199" i="6"/>
  <c r="P249" i="6"/>
  <c r="P263" i="6"/>
  <c r="R262" i="6"/>
  <c r="V262" i="6"/>
  <c r="X25" i="13"/>
  <c r="O12" i="14"/>
  <c r="O45" i="14"/>
  <c r="L7" i="14"/>
  <c r="K7" i="14"/>
  <c r="W156" i="6"/>
  <c r="AH181" i="6"/>
  <c r="W183" i="6"/>
  <c r="Q193" i="6"/>
  <c r="Y227" i="6"/>
  <c r="Z214" i="6"/>
  <c r="W245" i="6"/>
  <c r="W247" i="6"/>
  <c r="AD247" i="6"/>
  <c r="W257" i="6"/>
  <c r="W258" i="6"/>
  <c r="R12" i="14"/>
  <c r="I15" i="14"/>
  <c r="L13" i="14"/>
  <c r="L15" i="14"/>
  <c r="R45" i="14"/>
  <c r="N49" i="16"/>
  <c r="N50" i="16"/>
  <c r="T153" i="6"/>
  <c r="T160" i="6"/>
  <c r="X205" i="6"/>
  <c r="Z205" i="6"/>
  <c r="W191" i="6"/>
  <c r="I25" i="14"/>
  <c r="K19" i="14"/>
  <c r="K25" i="14"/>
  <c r="L24" i="14"/>
  <c r="L25" i="14"/>
  <c r="K24" i="14"/>
  <c r="I44" i="14"/>
  <c r="K44" i="14"/>
  <c r="T33" i="14"/>
  <c r="K26" i="14"/>
  <c r="K29" i="14"/>
  <c r="L51" i="14"/>
  <c r="D46" i="14"/>
  <c r="D47" i="14"/>
  <c r="Y228" i="6"/>
  <c r="Z228" i="6"/>
  <c r="Z227" i="6"/>
  <c r="AG264" i="6"/>
  <c r="V249" i="6"/>
  <c r="V263" i="6"/>
  <c r="R263" i="6"/>
  <c r="R42" i="13"/>
  <c r="T29" i="13"/>
  <c r="Q243" i="6"/>
  <c r="W243" i="6"/>
  <c r="AD243" i="6"/>
  <c r="O244" i="6"/>
  <c r="AD32" i="13"/>
  <c r="AB82" i="13"/>
  <c r="L12" i="14"/>
  <c r="L45" i="14"/>
  <c r="W153" i="6"/>
  <c r="V264" i="6"/>
  <c r="W91" i="6"/>
  <c r="AD23" i="6"/>
  <c r="Q153" i="6"/>
  <c r="Q160" i="6"/>
  <c r="AD181" i="6"/>
  <c r="Z257" i="6"/>
  <c r="X258" i="6"/>
  <c r="K38" i="16"/>
  <c r="K51" i="16"/>
  <c r="N51" i="16"/>
  <c r="N25" i="16"/>
  <c r="N38" i="16"/>
  <c r="O153" i="6"/>
  <c r="O160" i="6"/>
  <c r="W160" i="6"/>
  <c r="AF264" i="6"/>
  <c r="I30" i="14"/>
  <c r="AH194" i="6"/>
  <c r="AH182" i="6"/>
  <c r="AD182" i="6"/>
  <c r="W193" i="6"/>
  <c r="AD193" i="6"/>
  <c r="O194" i="6"/>
  <c r="O205" i="6"/>
  <c r="X160" i="6"/>
  <c r="Z160" i="6"/>
  <c r="Z153" i="6"/>
  <c r="AD153" i="6"/>
  <c r="T264" i="6"/>
  <c r="O228" i="6"/>
  <c r="Q227" i="6"/>
  <c r="W227" i="6"/>
  <c r="W92" i="6"/>
  <c r="Q96" i="6"/>
  <c r="Z244" i="6"/>
  <c r="X249" i="6"/>
  <c r="G47" i="14"/>
  <c r="G46" i="14"/>
  <c r="AD214" i="6"/>
  <c r="U264" i="6"/>
  <c r="X42" i="13"/>
  <c r="X82" i="13"/>
  <c r="X98" i="6"/>
  <c r="Z91" i="6"/>
  <c r="W96" i="6"/>
  <c r="AD96" i="6"/>
  <c r="O97" i="6"/>
  <c r="L50" i="14"/>
  <c r="L55" i="14"/>
  <c r="L47" i="14"/>
  <c r="L46" i="14"/>
  <c r="W244" i="6"/>
  <c r="O249" i="6"/>
  <c r="Q244" i="6"/>
  <c r="AD227" i="6"/>
  <c r="Z258" i="6"/>
  <c r="X262" i="6"/>
  <c r="Z262" i="6"/>
  <c r="AD262" i="6"/>
  <c r="Q228" i="6"/>
  <c r="W228" i="6"/>
  <c r="AD228" i="6"/>
  <c r="T42" i="13"/>
  <c r="R82" i="13"/>
  <c r="T82" i="13"/>
  <c r="Q194" i="6"/>
  <c r="Q205" i="6"/>
  <c r="W194" i="6"/>
  <c r="Z249" i="6"/>
  <c r="W97" i="6"/>
  <c r="AD97" i="6"/>
  <c r="Q97" i="6"/>
  <c r="Q98" i="6"/>
  <c r="AD257" i="6"/>
  <c r="AH257" i="6"/>
  <c r="AD91" i="6"/>
  <c r="AD244" i="6"/>
  <c r="AD160" i="6"/>
  <c r="X264" i="6"/>
  <c r="Z98" i="6"/>
  <c r="I45" i="14"/>
  <c r="K30" i="14"/>
  <c r="Y264" i="6"/>
  <c r="O98" i="6"/>
  <c r="O264" i="6"/>
  <c r="W264" i="6"/>
  <c r="W98" i="6"/>
  <c r="AD98" i="6"/>
  <c r="Z264" i="6"/>
  <c r="AD264" i="6"/>
  <c r="Z263" i="6"/>
  <c r="AE228" i="6"/>
  <c r="AE264" i="6"/>
  <c r="X263" i="6"/>
  <c r="Q249" i="6"/>
  <c r="O263" i="6"/>
  <c r="K45" i="14"/>
  <c r="I47" i="14"/>
  <c r="I46" i="14"/>
  <c r="AD194" i="6"/>
  <c r="W205" i="6"/>
  <c r="AD205" i="6"/>
  <c r="AD258" i="6"/>
  <c r="AH258" i="6"/>
  <c r="W249" i="6"/>
  <c r="Q263" i="6"/>
  <c r="Q264" i="6"/>
  <c r="W263" i="6"/>
  <c r="AD263" i="6"/>
  <c r="AD249" i="6"/>
</calcChain>
</file>

<file path=xl/sharedStrings.xml><?xml version="1.0" encoding="utf-8"?>
<sst xmlns="http://schemas.openxmlformats.org/spreadsheetml/2006/main" count="1783" uniqueCount="784">
  <si>
    <t>Plan de desarrollo 2012-2016 "Bogotá Humana"</t>
  </si>
  <si>
    <t>PROYECTO</t>
  </si>
  <si>
    <t>COMPONENTE</t>
  </si>
  <si>
    <t>ACTIVIDAD</t>
  </si>
  <si>
    <t>RESPONSABLE</t>
  </si>
  <si>
    <t>TRANSFERENCIAS</t>
  </si>
  <si>
    <t>RECURSOS ADMINISTRADOS</t>
  </si>
  <si>
    <t>TOTAL</t>
  </si>
  <si>
    <t>SUBTOTAL</t>
  </si>
  <si>
    <t>RECURSOS PROPIOS</t>
  </si>
  <si>
    <t>Implementar 100% del Sistema Integrado de Gestión.</t>
  </si>
  <si>
    <t>Adecuar  SEDE administrativa del IDEP a nivel de infraestructura física y tecnológica.</t>
  </si>
  <si>
    <t>NANCY MARTINEZ ÁLVAREZ</t>
  </si>
  <si>
    <t>LUIS ARTURO FORERO RONDEROS</t>
  </si>
  <si>
    <t>Directora General IDEP</t>
  </si>
  <si>
    <t>Jefe Oficina Asesora de Planeación</t>
  </si>
  <si>
    <t>ITEM</t>
  </si>
  <si>
    <t>OBJETO DEL CONTRATO</t>
  </si>
  <si>
    <t>Prestación de servicios profesionales para apoyar administrativamente la investigación del Estudio General en temas relacionados con la gestión en el sector educativo.</t>
  </si>
  <si>
    <t xml:space="preserve"> </t>
  </si>
  <si>
    <t>TOTAL PLAN DE COMPRAS BOGOTÁ HUMANA AÑO 2013</t>
  </si>
  <si>
    <t>TOTAL PROYECTO FORTALECIMIENTO INSTITUCIONAL No. 907</t>
  </si>
  <si>
    <t>TOTAL COMPONENTE ADECUADAS CONDICIONES FÍSICAS Y TECNOLÓGICAS</t>
  </si>
  <si>
    <t>Total Meta:Adecuación física  Sede del IDEP</t>
  </si>
  <si>
    <t>Total actividad</t>
  </si>
  <si>
    <t>Soluciones integrales de oficina S.A.S.</t>
  </si>
  <si>
    <t>menor cuantía</t>
  </si>
  <si>
    <t>junio</t>
  </si>
  <si>
    <t>Contratar la compra e instalación de cortinas enrollables para la oficina 402A y 402B del Instituto para la Investigación Educativa y el Desarrollo Pedagógico _IDEP de acuerdo a las condiciones técnicas.</t>
  </si>
  <si>
    <t>X</t>
  </si>
  <si>
    <t>Carlos Prieto Olarte</t>
  </si>
  <si>
    <t>Adecuación física  Sede del IDEP</t>
  </si>
  <si>
    <t>Total Meta:Avanzar en la renovacion de la infraestructura tecnológica.</t>
  </si>
  <si>
    <t>SALDO Contratar la compra e instalación del equipo de aire acondicionado para el cuarto de comunicaciones del Instituto para la Investigación Educativa y el Desarrollo Pedagógico IDEP.</t>
  </si>
  <si>
    <t>Aire 
Acondicionado</t>
  </si>
  <si>
    <t>Minima cuantía</t>
  </si>
  <si>
    <t>abril</t>
  </si>
  <si>
    <t>Contratar la compra e instalación del equipo de aire acondicionado para el cuarto de comunicaciones del Instituto para la Investigación Educativa y el Desarrollo Pedagógico IDEP.</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</si>
  <si>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</si>
  <si>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 xml:space="preserve">NEX COMPUTER </t>
  </si>
  <si>
    <t>agosto</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</si>
  <si>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</si>
  <si>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x</t>
  </si>
  <si>
    <t>SALDO   ompraventa de una Suite Adobe CS6 Design and Web Premium licencia comercial, para el instituto para la investigación Educativa y el Desarrollo Pedagógico- IDEP</t>
  </si>
  <si>
    <t>minima cuantía</t>
  </si>
  <si>
    <t xml:space="preserve">noviembre </t>
  </si>
  <si>
    <t>Compraventa de una Suite Adobe CS6 Design and Web Premium licencia comercial, para el instituto para la investigación Educativa y el Desarrollo Pedagógico- IDEP</t>
  </si>
  <si>
    <t>subasta inversa</t>
  </si>
  <si>
    <t>mayo</t>
  </si>
  <si>
    <t>Compra y venta e instalación de equipos de infraestructura tecnologica para la operación del IDEP</t>
  </si>
  <si>
    <t>Luis Arturo Forero Ronderos</t>
  </si>
  <si>
    <t>Avanzar en la renovacion de la infraestructura tecnológica.</t>
  </si>
  <si>
    <t xml:space="preserve">Porcentaje de avance en las adecuaciones físicas y tecnológicas </t>
  </si>
  <si>
    <t>ADECUADAS CONDICIONES FÍSICAS Y TECNOLÓGICAS</t>
  </si>
  <si>
    <t>TOTAL COMPONENTE DE GESTIÓN INSTITUCIONAL</t>
  </si>
  <si>
    <t>Total Meta:Realizar un evento para fortalecer las condiciones  institucionales , culturales  y una gestión pública transparente en el IDEP.</t>
  </si>
  <si>
    <t>directa</t>
  </si>
  <si>
    <t>octubre</t>
  </si>
  <si>
    <t>Prestación de servicios para realizar un evento para fortalecer las condiciones institucionales, culturales y una gestión pública transparente en el IDEP.</t>
  </si>
  <si>
    <t>Gerardo Duque Gutierrez</t>
  </si>
  <si>
    <t>septiembre</t>
  </si>
  <si>
    <t>Prestación de servicios profesionales de capacitación para fortalecer las competencias de los servidores del Instituto en la reformulación de la batería de indicadores y de los riesgos asociados.</t>
  </si>
  <si>
    <t>Realizar un evento de socialización de las políticas de transparencia</t>
  </si>
  <si>
    <t>Porcentaje de avance del evento</t>
  </si>
  <si>
    <t>Realizar un evento para fortalecer las condiciones  institucionales , culturales  y una gestión pública transparente en el IDEP.</t>
  </si>
  <si>
    <t xml:space="preserve">Total Meta: Realizar 15% de la implementacion y sostenibilidad del Sistema Integrado de Gestión </t>
  </si>
  <si>
    <t>Prestación de servicios para el apoyo de la implementación del sistema integrado de Gestión.</t>
  </si>
  <si>
    <t>Nelba Beltran</t>
  </si>
  <si>
    <t>Prestación de  servicios profesionales para apoyar a la subdirección administrativa financiera y de control disciplinario en el proceso de reconocimiento de salarios, prestaciones sociales, seguridad social y demás conceptos asociados a la nómina.</t>
  </si>
  <si>
    <t>SALDO Contratar la prestación de servicios profesionales, para apoyar al IDEP en la elaboración y presentación de una propuesta del Plan Estratégico de Desarrollo institucional.</t>
  </si>
  <si>
    <t>César Enrique Sánchez Jaramillo</t>
  </si>
  <si>
    <t>Contratar la prestación de servicios profesionales, para apoyar al IDEP en la revisión, ajuste y divulgación del Plan Estratégico de Desarrollo Institucional PEDI</t>
  </si>
  <si>
    <t>Paula Andrea Orozco</t>
  </si>
  <si>
    <t xml:space="preserve">Prestación de servicios profesionales  para aplicar la metodologia de Evaluación  de impacto con la que cuenta el IDEP  a dos proyectos de investigación o innovación que hayan sido desarrollados por el Instituto </t>
  </si>
  <si>
    <t>Diana Carolina Muñoz</t>
  </si>
  <si>
    <t>febrero</t>
  </si>
  <si>
    <t>Contratar los servicios profesionales  para apoyar a la oficina asesora de planeación en el monitoreo, sostenibilidad e implementación del sistema integrado de gestión y sus componentes.</t>
  </si>
  <si>
    <t>María 
Angelica Vasquez</t>
  </si>
  <si>
    <t>Prestación de servicios para apoyar la gestión administrativa a cargo de la Subdirección Académica.</t>
  </si>
  <si>
    <t>Hernan 
Dario Gutierrez</t>
  </si>
  <si>
    <t>Prestación de servicios profesionales para apoyar a la Oficina Asesora de Planeación, en el monitoreo , sostenibilidad e implementación de los sistemas informaticos del IDEP.</t>
  </si>
  <si>
    <t>Geysha Gladys Gerrero</t>
  </si>
  <si>
    <t>Prestación de servicios profesionales para apoyar la Oficina de Control Interno en el mantenimiento y evaluación del sistema de control interno.</t>
  </si>
  <si>
    <t>Diego Cubides</t>
  </si>
  <si>
    <t xml:space="preserve">Prestación de servicios profesionales para apoyar la  actualización, implementación  y desarrollo del Plan Institucional de Gestión ambiental PIGA  del Plan de Acción interno para el aprovechamiento eficiente de los reciduos (PAIR) y los subsistemas de  Seguridad y salud ocupacional (S&amp;SO) y gestión ambiental (SGA) del Instituto para la Investigación Educativa y el Desarrollo Pedagógico IDEP, de acuerdo a lo establecido para las normas vigente.    </t>
  </si>
  <si>
    <t>Heber
 Andres Sanchez</t>
  </si>
  <si>
    <t>Prestación de servicios profesionales como abogado para apoyar la revisión jurídica en el proceso de gestión documental contractual a cargo de la oficina jurídica.</t>
  </si>
  <si>
    <t>SALDO Prestación de servicios profesionales como abogado (a) para apoyar la gestión, actividades y trámites  que se encuentran a cargo de la oficina asesora jurídica.</t>
  </si>
  <si>
    <t>Irma Carmenza Chamorro</t>
  </si>
  <si>
    <t>Prestación de servicios profesionales como abogado (a) para apoyar la gestión, actividades y trámites  que se encuentran a cargo de la oficina asesora jurídica.</t>
  </si>
  <si>
    <t>Gustavo Salazar</t>
  </si>
  <si>
    <t>Implementación y sostenibilidad del Sistema Integrado de Gestión.</t>
  </si>
  <si>
    <t>Porcentaje  de implementación del Sistema Integrado de Gestión</t>
  </si>
  <si>
    <t xml:space="preserve">Realizar 25% de la implementacion y sostenibilidad del Sistema Integrado de Gestión </t>
  </si>
  <si>
    <t>GESTIÓN INSTITUCIONAL</t>
  </si>
  <si>
    <t>Proyecto 907</t>
  </si>
  <si>
    <t xml:space="preserve">TOTAL COMPONENTE DE COMUNICACIÓN, SOCIALIZACIÓN Y DIVULGACIÓN. </t>
  </si>
  <si>
    <t>Total Meta; Realizar una estrategia de Comunicación, Socialización y divulgación de los resultados de las investigaciones y sistematizaciones realizadas por el IDEP</t>
  </si>
  <si>
    <t>Abril</t>
  </si>
  <si>
    <t>Prestación de servicios  para el apoyo logístico, de comunicación, transporte y materiales para la realización de actividades propias de la estrategia de comunicación.</t>
  </si>
  <si>
    <t>SALDO   Prestación de servicios para el apoyo a la estrategia de comunicación en el marco del evento académico" IV Coloquio Latinoamericano de Biopolítica y II Coloquio Internacional de Biopolíticas y Educación.</t>
  </si>
  <si>
    <t>Plataforma de Comunicación</t>
  </si>
  <si>
    <t>Agosto</t>
  </si>
  <si>
    <t>Prestación de servicios para el apoyo a la estrategia de comunicación en el marco del evento académico" IV Coloquio Latinoamericano de Biopolítica y II Coloquio Internacional de Biopolíticas y Educación.</t>
  </si>
  <si>
    <t>Richard Romo</t>
  </si>
  <si>
    <t>Marzo</t>
  </si>
  <si>
    <t>Prestación de servicios profesionales para asistir  al componente de comunicación en la edición del Magazín Aula Urbaba,  la producción periodística y la comunicación institucional.</t>
  </si>
  <si>
    <t xml:space="preserve">Carlos Alexander Marroquin Moreno
</t>
  </si>
  <si>
    <t>Prestación de servicios profesionales para el diseño, diagramación y elaboración iconográfica de productos comunicativos  del IDEP</t>
  </si>
  <si>
    <t>María
 del Pilar Rubio</t>
  </si>
  <si>
    <t>Febrero</t>
  </si>
  <si>
    <t>Prestación de servicios profesionales para el desarrollo y diseño de acciones y productos de comunicación institucional  para la socialización,  promoción, difusión, posicionamiento y fortalecimiento institucional.</t>
  </si>
  <si>
    <t>Comunicación interna y externa</t>
  </si>
  <si>
    <t>AMCM GROUP S.A.S.</t>
  </si>
  <si>
    <t>Prestación de servicios para la suscripción por un año a las bases de datos Education Source,  ERIC®, the Education Resource Information Center y Fuente Académica ™ Premier con acceso esclusivo en el centro de Documentación del IDEP.</t>
  </si>
  <si>
    <t>Alveiro Tapias</t>
  </si>
  <si>
    <t>Directa</t>
  </si>
  <si>
    <t>Prestación de servicios profesionales para apoyar la gestión administrativa del componente Comunicación, Socialización y Divulgaciópn y el apoyo al seguimiento administrativo de la Subdirección General Académica.</t>
  </si>
  <si>
    <t>Selección abreviada</t>
  </si>
  <si>
    <t xml:space="preserve">Prestación de servicios  para la creación, alimentación y mantenimiento de un canal educativo digital </t>
  </si>
  <si>
    <t>Escuela
 Pais Ltda</t>
  </si>
  <si>
    <t xml:space="preserve">directa </t>
  </si>
  <si>
    <t>marzo</t>
  </si>
  <si>
    <t>Prestación de servicios para producir y emitir el Programa Aula Urbana Dial del Instituto para la Investigación Educativa y el Desarrollo Pedagógico IDEP</t>
  </si>
  <si>
    <t>Medios y Web</t>
  </si>
  <si>
    <t xml:space="preserve">SALDO Suministro de insumos  de impresión  para la realización de publicaciones del IDEP </t>
  </si>
  <si>
    <t>Grupo los lagos</t>
  </si>
  <si>
    <t xml:space="preserve"> Suministro de insumos  de impresión  para la realización de publicaciones del IDEP </t>
  </si>
  <si>
    <t>Prestación de servicios para la distribución de publicaciones del Instituto para la Investigación Educativa y el Desarrollo Pedagógico, IDEP</t>
  </si>
  <si>
    <t>RED POSTAL
 COLOMBIA LTDA</t>
  </si>
  <si>
    <t>Contratar la prestación de servicios para apoyar al IDEP en la definición y ejecución de la política editorial.</t>
  </si>
  <si>
    <t>Prestación de servicios profesionales para realizar la producción editorial de las publicaciones del IDEP.</t>
  </si>
  <si>
    <t>Corporación Editorial magisterio</t>
  </si>
  <si>
    <t>Prestación de servicios profesionales para realizar la edición de la revista Educación y Ciudad del Instituto para la Investigación Educativa y el Desarrollo Pedagógico, IDEP.</t>
  </si>
  <si>
    <t>Diana María Prada Romero</t>
  </si>
  <si>
    <t>Publicaciones</t>
  </si>
  <si>
    <t>Porcentaje de avance 
de la estrategia de comunicación</t>
  </si>
  <si>
    <t>Realizar una estrategia de Comunicación, Socialización y divulgación de los resultados de las investigaciones y sistematizaciones realizadas por el IDEP</t>
  </si>
  <si>
    <t>Realizar una estrategia de comunicación, socialización y divulgación</t>
  </si>
  <si>
    <t>COMUNICACIÓN, SOCIALIZACIÓN Y DIVULGACIÓN</t>
  </si>
  <si>
    <t>TOTAL COMPONENTE CUALIFICACIÓN DOCENTE</t>
  </si>
  <si>
    <t>Total Meta: Realizar el 20% del diseño Cualificación docente</t>
  </si>
  <si>
    <t>Carolina Maya</t>
  </si>
  <si>
    <t xml:space="preserve">junio </t>
  </si>
  <si>
    <t>Prestación de servicios profesionales para realizar el análisis de preferencias y expectativas de docentes y grupos  en la fase II del componente.</t>
  </si>
  <si>
    <t>Carlos Ernesto Valdivieso</t>
  </si>
  <si>
    <t>Prestación de servicios profesionales para realizar el análisis de contextos locales y medición de costos sociales y económicos de la satisfacción de necesidades en la fase II del componente</t>
  </si>
  <si>
    <t>Prestación de servicios profesionales para apoyar el diseño del componente de Cualificación Docente en su fase II desde el trabajo realizado con los Docentes .</t>
  </si>
  <si>
    <t>Prestación de servicios profesionales para apoyar el diseño del componente de Cualificación Docente en su fase II desde el trabajo realizado con estudiantes y padres de familia .</t>
  </si>
  <si>
    <t>Prestación de servicios  profesionales para realizar el diseño y edición de las piezas comunicativas del IDEP</t>
  </si>
  <si>
    <t>Corporaciópn Magisterio</t>
  </si>
  <si>
    <t>julio</t>
  </si>
  <si>
    <t>Aunar esfuerzos académicos didácticos y pedagógicos, técnicos y económicos para la realización y coordinación de eventos académicos del Idep, en cumplimiento del proyecto de inversión 702</t>
  </si>
  <si>
    <t>Aunar esfuerzos para apoyar experiencias de investigación dentro de la práctica educativa en los colegios oficiales de Bogotá</t>
  </si>
  <si>
    <t>+</t>
  </si>
  <si>
    <t>Jaime Parra</t>
  </si>
  <si>
    <t>Prestación de servicios profesionales para orientar el diseño del componente de cualificación docente en su fase II</t>
  </si>
  <si>
    <t>Alba Nelly Gutierrez Calvo</t>
  </si>
  <si>
    <t>Diseño del Componente Cualificación Docente</t>
  </si>
  <si>
    <t>Porcentaje de avance del diseño de Cualificación Docente.</t>
  </si>
  <si>
    <t>Realizar el 20% del diseño del Componente  Cualificación Docente</t>
  </si>
  <si>
    <t xml:space="preserve">Realizar el diseño del Componente </t>
  </si>
  <si>
    <t>Total Meta: Realizar una estrategia en Cualificación  Docente</t>
  </si>
  <si>
    <t>Andrea Sanchez</t>
  </si>
  <si>
    <t>77 de 2012</t>
  </si>
  <si>
    <t xml:space="preserve">Adición al contrato No. 077 de 2012 </t>
  </si>
  <si>
    <t>Prestación de servicios profesionales para elaboración de un documento conceptual y metodológico de la estrategia de cualificación</t>
  </si>
  <si>
    <t>OEI</t>
  </si>
  <si>
    <t>convenio</t>
  </si>
  <si>
    <t>Adición presupuestal convenio 090 de 2012</t>
  </si>
  <si>
    <t>Prestación de servicios profesionales para realizar la gestión administrativa y demás actividades de la estrategia del componente.</t>
  </si>
  <si>
    <t>Prestación de servicios para realizar el apoyo a la gestión administrativa y demás actividades de la estrategia del componente</t>
  </si>
  <si>
    <t>Corporación Magisterio</t>
  </si>
  <si>
    <t>directa convenio de asociación</t>
  </si>
  <si>
    <t xml:space="preserve">Aunar esfuerzos académicos, didácticos, pedagógicos, técnicos y económicos para la realización y coordinación de eventos académicos del idep, en cumplimiento del proyecto de inversión 702 </t>
  </si>
  <si>
    <t>Ana Lucia Florez (adición)</t>
  </si>
  <si>
    <t>Adición al contrato No. 014 de 2013</t>
  </si>
  <si>
    <t>Sandra Bustamante</t>
  </si>
  <si>
    <t>Prestación de servicios de apoyo a la gestión administrativa para las actividades del estudio Planes territoriales de formación, incentivos, impactos y alternativas de cualificación Docente en Bogotá.</t>
  </si>
  <si>
    <t>Prestación de servicios de apoyo logístico para la realización de las correspondientes actividades misionales</t>
  </si>
  <si>
    <t>saldo por recaurdar</t>
  </si>
  <si>
    <t>Prestación de servicios profesionales para diseñar las piezas comunicativas del Premio a la Investigación e innovación Educativa 2013.</t>
  </si>
  <si>
    <t>Estrategia del componente Cualificación Docente</t>
  </si>
  <si>
    <t>Porcentaje de avance de la Estrategia  Cualificación Docente.</t>
  </si>
  <si>
    <t xml:space="preserve"> Realizar una estrategia en Cualificación  Docente</t>
  </si>
  <si>
    <t>Realizar 5 estrategias en Cualificación Docente</t>
  </si>
  <si>
    <t>Total Meta: Desarrollar 1 estudio en Cualificación docente</t>
  </si>
  <si>
    <t>Universidad 
Nacional</t>
  </si>
  <si>
    <t>02/010/2013</t>
  </si>
  <si>
    <t>Adición al contrato No. 059 de 2013</t>
  </si>
  <si>
    <t>Prestación de servicios  para Desarrollar un curso-taller de escritura de textos académicos, en distintas localidades dirigido a docentes de colegios oficiales</t>
  </si>
  <si>
    <t>Adición al contrato No. 031 de 2013</t>
  </si>
  <si>
    <t>Liliana Lucia Caicedo</t>
  </si>
  <si>
    <t>Prestación de servicios profesionales para apoyar la coordinación académica y el seguimiento técnico y administrativo del estudio.</t>
  </si>
  <si>
    <t>Ana Lucia Florez</t>
  </si>
  <si>
    <t>Prestación de servicios profesionales para apoyar la gestión administrativa del estudio en articulación con el diseño y la estrategia del componente de cualificación docente.</t>
  </si>
  <si>
    <t>Claudia patricia Giraldo</t>
  </si>
  <si>
    <t xml:space="preserve">Prestación de servicios profesionales para apoyar en el análisis de las tendencias en política pública de desarrollo profesional docente en Bogotá. </t>
  </si>
  <si>
    <t>Yira Milena Gitierrez Casas</t>
  </si>
  <si>
    <t>Prestación de servicios para  administrar la encuesta digital de necesidades de desarrollo profesional docente en Bogotá</t>
  </si>
  <si>
    <t>Edición del documento final de las necesidades de formación docente</t>
  </si>
  <si>
    <t>grupo los lagos</t>
  </si>
  <si>
    <t>Suministro de insumos  de impresión  para la realización de publicaciones del IDEP</t>
  </si>
  <si>
    <t>Oscar Barrera</t>
  </si>
  <si>
    <t>Prestación de servicios profesionales para  la elaboración de modelos matemáticos de medición de necesidades de desarrollo profesional docente en Bogotá.</t>
  </si>
  <si>
    <t>Aunar esfuerzos académicos y logísticos para realizar un proceso de acompañamiento y sistematización de experiencias institucionales de reconocimiento de la diversidad en el sistema educativo (inclusión educativa)</t>
  </si>
  <si>
    <t>CINEP</t>
  </si>
  <si>
    <t>Prestación de servicios  para elaborar un estado de la cuestión en experiencias en temas de ruralidad y territorio realizadas en Bogotá y acompañar cinco experiencias de aula en temas de ruralidad y territorio en colegios distritales de Bogotá como estrategia de desarrollo profesional docente.</t>
  </si>
  <si>
    <t>Prestación de servicios para hacer el levantamiento de información sobre las necesidades de formación docente a través de una encuesta.</t>
  </si>
  <si>
    <t>Convenio interadministrativo</t>
  </si>
  <si>
    <r>
      <t xml:space="preserve">Aunar esfuerzos para  </t>
    </r>
    <r>
      <rPr>
        <sz val="10"/>
        <color indexed="63"/>
        <rFont val="Arial"/>
        <family val="2"/>
      </rPr>
      <t>apoyar experiencias de investigación dentro de la práctica educativa en los colegios oficiales de Bogotá.</t>
    </r>
  </si>
  <si>
    <t>María Elvira Rodriguez</t>
  </si>
  <si>
    <t>Prestación de servicios profesionales como co-investigador del “Estudio sobre los incentivos: balance y perspectivas de la política de incentivos en el Distrito Capital (1996-2013)”.</t>
  </si>
  <si>
    <t>Gladys Jaimes
 de Casa Diego</t>
  </si>
  <si>
    <t>Prestación de servicios profesionales como investigador principal para la orientación académica y metodológica  del “Estudio sobre los incentivos: balance y perspectivas de la política de incentivos en el Distrito Capital (1996-2013)”</t>
  </si>
  <si>
    <t xml:space="preserve">Prestación de servicios para realizar el análisis de los resultados de los  incentivos económicos reconocidos por la SED a los Docente durante el periodo 2004-2012.   </t>
  </si>
  <si>
    <t>Universidad 
Pedagógica</t>
  </si>
  <si>
    <t>Prestación de servicios  para  realizar un balance del Plan territorial de formación docente 2008  - 2012 y orientar la formulación de una propuesta para el nuevo plan</t>
  </si>
  <si>
    <t>Ruth Amanda Cortés-        Alba Nelly Gutierrez Calvo</t>
  </si>
  <si>
    <t>Planes territoriales de formación, incentivos, impactos y alternativas de cualificación docente en Bogotá</t>
  </si>
  <si>
    <t>Porcentaje de avance de los Estudios desarrollados
 en el componente de Cualificación  docente</t>
  </si>
  <si>
    <t>Desarrollar 1 estudio en Cualificación  Docente</t>
  </si>
  <si>
    <t>Desarrollar 4 estudios  en Cualificación docente</t>
  </si>
  <si>
    <t>PROYECTO NO. 702 Investigación e innovación para la construcción de conocimiento educativo y pedagógico.</t>
  </si>
  <si>
    <t>TOTAL COMPONENTE EDUCACIÓN Y POLITICA PUBLICA</t>
  </si>
  <si>
    <t>Total Meta: Realizar el 20% diseño del componente Educación y políticas públicas</t>
  </si>
  <si>
    <t>319-Aunar esfuerzos académicos, didácticos, pedagógicos, técnicos y económicos para la realización y coordinación de eventos académicos del IDEP, en cumplimiento del proyecto de inversión 702</t>
  </si>
  <si>
    <t>Sonia 
Esmeralda Rojas</t>
  </si>
  <si>
    <t>179-Prestación de servicios profesionales para el apoyo administrativo al diseño, a los estudios y demás actividades del componente Educación y políticas públicas.</t>
  </si>
  <si>
    <t>Omar Pulido</t>
  </si>
  <si>
    <t>178-Prestación de servicios profesionales para desarrollar los referentes conceptuales y las herramientas del diseño del componente Educación y políticas públicas.</t>
  </si>
  <si>
    <t>excedentes financieros</t>
  </si>
  <si>
    <t>Rafael Pabon</t>
  </si>
  <si>
    <t>Prestación de servicios profesionales para realizar el apoyo metodológico al diseño del componente Educación y políticas públicas.</t>
  </si>
  <si>
    <t>Fernando Antonio Rincon Trujillo</t>
  </si>
  <si>
    <t>Diseño del componente educación y políticas públicas</t>
  </si>
  <si>
    <t>Porcentaje de avance del Diseño del componente de Educación y Política pública</t>
  </si>
  <si>
    <t>Diseñar el 20% del Diseño del componente Educación y políticas Públics</t>
  </si>
  <si>
    <t>Total Meta:Estudios Educación y Política Pública</t>
  </si>
  <si>
    <t>UNIVERSIDAD NACIONAL</t>
  </si>
  <si>
    <t>Prestación de servicios de apoyo al trabajo de recolección, procesamiento, sistematización y análisis de la información de las actividades del componente de Educación y políticas Públicas.</t>
  </si>
  <si>
    <t>Prestación de servicios profesionales para la creación, desarrollo y operación de un aplicativo informático y la recolección, procesamiento y análisis de la información.</t>
  </si>
  <si>
    <t>Prestación de servicios para el desarrollo de una estrategia de participación, de diálogos ciudadanos y de distribución de materiales</t>
  </si>
  <si>
    <t xml:space="preserve">saldo Suministro de insumos  de impresión  para la realización de publicaciones del IDEP </t>
  </si>
  <si>
    <t xml:space="preserve">Suministro de insumos  de impresión  para la realización de publicaciones del IDEP </t>
  </si>
  <si>
    <r>
      <t xml:space="preserve">Prestación de servicios profesionales  para el apoyo </t>
    </r>
    <r>
      <rPr>
        <sz val="10"/>
        <color indexed="8"/>
        <rFont val="Arial"/>
        <family val="2"/>
      </rPr>
      <t>administrativo, documental y operativo del estudio</t>
    </r>
  </si>
  <si>
    <r>
      <t xml:space="preserve">Prestación de servicios profesionales  para el apoyo </t>
    </r>
    <r>
      <rPr>
        <sz val="10"/>
        <color indexed="8"/>
        <rFont val="Arial"/>
        <family val="2"/>
      </rPr>
      <t>en la organización y coordinación del trabajo de campo</t>
    </r>
  </si>
  <si>
    <t>Delvi Gomez</t>
  </si>
  <si>
    <r>
      <t xml:space="preserve">Prestación de servicios profesionales  para el apoyo a la elaboración de </t>
    </r>
    <r>
      <rPr>
        <sz val="10"/>
        <color indexed="8"/>
        <rFont val="Arial"/>
        <family val="2"/>
      </rPr>
      <t xml:space="preserve">referentes y productos conceptuales y metodológicos </t>
    </r>
    <r>
      <rPr>
        <sz val="10"/>
        <color indexed="8"/>
        <rFont val="Arial"/>
        <family val="2"/>
      </rPr>
      <t>del estudio de Monitoreo al Plan sectorial de Educación</t>
    </r>
  </si>
  <si>
    <t>Diego Hernan Garzón</t>
  </si>
  <si>
    <r>
      <t>Prestación de servicios profesionales  para el a</t>
    </r>
    <r>
      <rPr>
        <sz val="10"/>
        <color indexed="8"/>
        <rFont val="Arial"/>
        <family val="2"/>
      </rPr>
      <t>poyo en la elaboración de documentos e instrumentos de seguimiento técnico de política pública</t>
    </r>
    <r>
      <rPr>
        <sz val="10"/>
        <color indexed="8"/>
        <rFont val="Arial"/>
        <family val="2"/>
      </rPr>
      <t xml:space="preserve"> del estudio de Monitoreo al Plan sectorial de Educación</t>
    </r>
  </si>
  <si>
    <t>Luis Jaime Piñeros</t>
  </si>
  <si>
    <t>Prestación de servicios profesionales  para la orientación y coordinación general del estudio de Monitoreo al Plan sectorial de Educación</t>
  </si>
  <si>
    <t>Paulo Alberto Molina Bolivar</t>
  </si>
  <si>
    <t>Sistema de monitoreo al Plan Sectorial de Educación (fase 1)</t>
  </si>
  <si>
    <t>convenio 3199</t>
  </si>
  <si>
    <t>Adición No. 1 al contrato 042 del 2013</t>
  </si>
  <si>
    <t>convenio 3198</t>
  </si>
  <si>
    <t>Prestación de servicios de apoyo lógistico para la realización de las correspondientes actividades de construcción participativa previstas en el Plan de Trabajo del Convenio 3198-12 SED-IDEP.</t>
  </si>
  <si>
    <t>Fundación para el Fomento del trabajo el Desarrollo Humano</t>
  </si>
  <si>
    <t>Prestación de servicios para el apoyo a la gestión programación y montaje de una herramienta pedagógica virtual, para la inclusión de la perspectiva de género, el enfoque diferencial y derechos en las prácticas pedagógicas.</t>
  </si>
  <si>
    <t>Olga 
Lucia castillo</t>
  </si>
  <si>
    <t>Prestación de servicios para apoyar en metodologías cuantitativas y cualitativas la implementación del Convenio Interadministrativo No. 3198-12 celebrada entre la SED y el IDEP</t>
  </si>
  <si>
    <t>Nancy
 Prada Prada</t>
  </si>
  <si>
    <t>Prestación de servicio para apoyar técnica y metodológicamente al IDEP en la articulación de los componentes I,II,III del Convenio interadministrativo No. 3198-12 celebrado entre la SED y el IDEP</t>
  </si>
  <si>
    <t xml:space="preserve">Monica
 Lorenza Garzón              </t>
  </si>
  <si>
    <t>Prestación de servicios para apoyar a la Coordinación General del  Convenio 3198 de 2012, celebrado entre el IDEP y la SED; Genero y Educación: “Acciones para la transversalización  de la política de Genero en las dimensiones organizacional y pedagógica de la Secretaría de Educación de Bogotá”, en el seguimiento administrativo, financiero y de soporte documental de todo el proceso.</t>
  </si>
  <si>
    <t>Servicios profesionales para el diseño de base de datos, instrumentos en línea y aplicativos virtuales para la recolección de datos, construcción de bases de datos.  PARA COMPONENTES I, II y III</t>
  </si>
  <si>
    <t>Alejandra 
Quintana</t>
  </si>
  <si>
    <t>Prestación de Servicios profesionales para apoyar, desde la perspectiva de género, el diseño de un estudio para implementar un proceso de inclusión del enfoque de derechos y de Género en las prácticas pedagógicas regulares  y  con  enfoque diferencial (componente III) en el marco del convenio numero 3198 de 2012 celebrado entre el IDEP y la SED</t>
  </si>
  <si>
    <t>Luz Marina Leon</t>
  </si>
  <si>
    <t>Prestación de Servicios profesionales para apoyar, desde la perspectiva pedagógica, el diseño de un estudio para implementar un proceso de inclusión del enfoque de derechos y de Género en las prácticas pedagógicas regulares  y  con  enfoque diferencial (componente III) en el marco del convenio numero 3198 de 2012 celebrado entre el IDEP y la SED.</t>
  </si>
  <si>
    <t>Rosalba Ardila</t>
  </si>
  <si>
    <t xml:space="preserve">Prestación de servicios profesionales para la realización de trabajo documental, el diseño de instrumentos y la elaboración de informes de investigación del componente I del proyecto de Transversalización de Género en las direcciones locales de educación de la SED y en el IDEP, en lo atinente a las localidades, en el marco del Convenio número 3198 de 2012 celebrado entre el IDEP y la SED.  </t>
  </si>
  <si>
    <t>Diana
 Alexandra Riveros</t>
  </si>
  <si>
    <t xml:space="preserve">Prestación de servicios profesionales para la realización de trabajo documental, el diseño de instrumentos y la elaboración de informes de investigación del Componente I del proyecto de Transversalización de Género en el nivel central de la SED y en el IDEP en lo atinente al Distrito Capital, en el marco del Convenio número 3198 de 2012 celebrado entre el IDEP y la SED.  </t>
  </si>
  <si>
    <t>Sonia Alejandrina 
Castillo</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</si>
  <si>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cuantitativas, del proyecto de Transversalización de Género en la dimensión organizacional (componente II), en el marco del Convenio número 3198 de 2012 celebrado entre el IDEP y la SED.  </t>
  </si>
  <si>
    <t>María Himelda
 Ramirez</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</si>
  <si>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cualitativas, del proyecto de Transversalización de Género en la dimensión organizacional (componente II), en el marco del Convenio número 3198 de 2012 celebrado entre el IDEP y la SED.  </t>
  </si>
  <si>
    <t>Estudio general con desarrollos temáticos para el seguímiento y recomendaciones a la politica de Bogotá Humana en el marco del convenio 3198 de 2012 (actividad del 2012)</t>
  </si>
  <si>
    <t>Saldo Prestar apoyo logístico relacionado con papelería, multicopiado impreso y digital, transporte, comunicación y equipos y suministros para la  socialización de la caracterización de la experiencia piloto de jornada educativa de 40 horas en 26 colegios distritales</t>
  </si>
  <si>
    <t>COMPENSAR</t>
  </si>
  <si>
    <t>Prestar apoyo logístico relacionado con papelería, multicopiado impreso y digital, transporte, comunicación y equipos y suministros para la  socialización de la caracterización de la experiencia piloto de jornada educativa de 40 horas en 26 colegios distritales</t>
  </si>
  <si>
    <t>convenio 3302</t>
  </si>
  <si>
    <t>José 
Roberto Calcetero</t>
  </si>
  <si>
    <t>Prestación de servicios profesionales para realizar el trabajo de campo y la caracterización de los colegios distritales asignados por la coordinación, en la reconstrucción de la jornada educativa de cuarenta horas semanales de la experiencia piloto en Un (01) colegio de la localidad de Ciudad Bolívar, Tres (03) colegios de la localidad de Rafael Uribe Uribe, Tres (03) colegios de la localidad de Santa Fe y un (01) colegio de la localidad de Tunjuelito</t>
  </si>
  <si>
    <t>Luz 
Sney Cardozo</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</si>
  <si>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Fontibón, Un (01) colegio de la localidad de Bosa, Un (01) colegio de la localidad de Engativá, Cuatro  (04) colegio de la localidad de Suba y Un (01) colegio de la localidad de Usaquén.</t>
  </si>
  <si>
    <t>Luis
 Ignacio Rojas</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</si>
  <si>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Barrios Unidos, Un (01) colegio de la localidad de Antonio Nariño, Un (01) colegio de la localidad de Chapinero, Un (01) colegio de la localidad de los Mártires, Dos (02) colegios de la localidad de Puente Aranda y Dos (02) colegios de la localidad de Teusaquillo</t>
  </si>
  <si>
    <t>Felipe Rodriguez</t>
  </si>
  <si>
    <t>Prestación de servicios profesionales para realizar el diseño, administración y actualización de una plataforma informática para la reconstrucción de la jornada educativa de cuarenta horas semanales y la caracterización de veintiséis colegios distritales.</t>
  </si>
  <si>
    <t>Luz Marina
 Ramirez</t>
  </si>
  <si>
    <t>Prestación de servicios profesionales para la identificación de las lecciones aprendidas respecto de las gestiones pedagógica e institucional de la ampliación de la jornada escolar a 40 horas semanales en 26 colegios distritales.</t>
  </si>
  <si>
    <t>Jorge Alberto Palacio Castañeda</t>
  </si>
  <si>
    <t>Jornada Educativa 40 horas Fase II en el marco del convenio 3302 de 2012 (Actividad del 2012)</t>
  </si>
  <si>
    <t>excedentes
 financieros</t>
  </si>
  <si>
    <t>SALDO    Prestación de servicios profesionales para realizar un estudio de caracterización y análisis sobre subjetividad y diversidad en espacios escolares</t>
  </si>
  <si>
    <t>Corporación Viva la Ciudadanía</t>
  </si>
  <si>
    <t>Prestación de servicios profesionales para realizar un estudio de caracterización y análisis sobre subjetividad y diversidad en espacios escolares</t>
  </si>
  <si>
    <t>Estudio sobre subjetividades y diversidad en la escuela</t>
  </si>
  <si>
    <t>JHONNATAN LINARES</t>
  </si>
  <si>
    <t>Prestación de servicios profesionales para el apoyo en la operación y actualización de los aplicativos informaticos necesarios para el desarrollo de los estudios del componente de Educación y Políticas Públicas.</t>
  </si>
  <si>
    <t>Grupo los Lagos</t>
  </si>
  <si>
    <t>Prestación de servicios para publicación y socialización de avances y resultados.</t>
  </si>
  <si>
    <t>Prestación de servicios para la creación, desarrollo y operación  de un aplicativo informático y la recolección, procesamiento y análisis de la información.</t>
  </si>
  <si>
    <t>Prestación de servicios profesionales para realizar un estudio temático sobre la política de implementación de la reorganización curricular por ciclos en los colegios distritales</t>
  </si>
  <si>
    <t>Edison Rafael castro</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</si>
  <si>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</si>
  <si>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Luis Ignacio Rojas</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</si>
  <si>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</si>
  <si>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Nadia
 Catalina Angel</t>
  </si>
  <si>
    <t>Prestación de servicios profesionales en calidad de co-investigador(a)   del Estudio General en temas relacionados con pedagogía, educación y organización escolar.</t>
  </si>
  <si>
    <t>Julian Moreno</t>
  </si>
  <si>
    <t>Prestación de servicios profesionales en calidad de co-investigador(a)   de apoyo conceptual y metodológico del estudio general en materia de políticas públicas y derechos humanos con el sector educativo de Bogotá.</t>
  </si>
  <si>
    <t>María del Pilar Gonzalez</t>
  </si>
  <si>
    <t xml:space="preserve">Adriana Londoño </t>
  </si>
  <si>
    <t>Prestación de servicios profesionales en calidad de investigador(a) principal del estudio temático sobre derechos humanos y ambientales en escolares de los ciclos III, IV y V</t>
  </si>
  <si>
    <t>Constanza
 Amesquita</t>
  </si>
  <si>
    <t>Prestación de servicios profesionales en calidad de investigador(a) principal del Estudio General con desarrollos temáticos para recomendaciones a la política educativa.</t>
  </si>
  <si>
    <t>Estudio General con desarrollos temáticos para recomendaciones a la política educativa</t>
  </si>
  <si>
    <t xml:space="preserve"> Fundación 
Universidad Central</t>
  </si>
  <si>
    <t>Convenio por Asociación</t>
  </si>
  <si>
    <r>
      <t xml:space="preserve">Aunar esfuerzos para realizar un estado del arte sobre el campo de conocimiento relacionado con </t>
    </r>
    <r>
      <rPr>
        <i/>
        <sz val="10"/>
        <color indexed="8"/>
        <rFont val="Arial"/>
        <family val="2"/>
      </rPr>
      <t>Cuerpo y Subjetividad</t>
    </r>
    <r>
      <rPr>
        <sz val="10"/>
        <color indexed="8"/>
        <rFont val="Arial"/>
        <family val="2"/>
      </rPr>
      <t xml:space="preserve"> en las dos últimas décadas en Colombia, que permita aportar elementos de comprensión sobre los procesos de subjetivación y las diversas formas de expresión de los y las estudiantes en </t>
    </r>
    <r>
      <rPr>
        <sz val="10"/>
        <color indexed="8"/>
        <rFont val="Calibri"/>
        <family val="2"/>
      </rPr>
      <t> </t>
    </r>
    <r>
      <rPr>
        <sz val="10"/>
        <color indexed="8"/>
        <rFont val="Arial"/>
        <family val="2"/>
      </rPr>
      <t>las instituciones educativas de Bogotá</t>
    </r>
  </si>
  <si>
    <t>Corporeidad y subjetividad en la escuela (ámbito Subjetividad)</t>
  </si>
  <si>
    <t>Porcentaje de avance de los Estudios desarrollados en Educación y Políticas Públicas.</t>
  </si>
  <si>
    <t>Desarrollar 4 estudios en Educación y Políticas Públicas</t>
  </si>
  <si>
    <t>Desarrollar 16 estudios  en Educación y Políticas Públicas</t>
  </si>
  <si>
    <t>EDUCACIÓN Y POLÍTICAS PÚBLICAS</t>
  </si>
  <si>
    <t>TOTAL COMPONENTE ESCUELA CURRICULO Y PEDAGOGÍA</t>
  </si>
  <si>
    <t>Total Meta: Realizar el 20% del diseño del componente Escuela, Currículo y pedagogía</t>
  </si>
  <si>
    <t xml:space="preserve">abril </t>
  </si>
  <si>
    <t>Aunar esfuerzos académicos, didacticos, pedagogicos, técnicos y económicos para la realización y coordinación de eventos académicos del IDEP, en cumplimiento del proyecto de inversión 702</t>
  </si>
  <si>
    <t>Diana
 Cristina Ballen</t>
  </si>
  <si>
    <t xml:space="preserve">Prestación de servicios profesionales para el apoyo administrativo al diseño, a los estudios y demás actividades del componente  Escuela, Currículo y pedagogía </t>
  </si>
  <si>
    <t>excedente
s financieros</t>
  </si>
  <si>
    <t>Luis Torres</t>
  </si>
  <si>
    <t>Prestación de servicios profesionales  para apoyar como co-investigador(a) la segunda fase del diseño  del componente de Escuela, Currículo y Pedagogía para la caracterización  de la ciudad desde indicadores socio-demográficos.</t>
  </si>
  <si>
    <t>Jorge Medellin</t>
  </si>
  <si>
    <t>Prestación de servicios profesionales para orientar la segunda fase del diseño del componente de Escuela Curriculo y Pedagogía</t>
  </si>
  <si>
    <t>Jorge Orlando Castro Villarraga.</t>
  </si>
  <si>
    <t xml:space="preserve">Diseño del componente Escuela, Currículo y pedagogía </t>
  </si>
  <si>
    <t>Porcentaje de avance del diseño del Componente  Escuela Curriculo y Pedagogía</t>
  </si>
  <si>
    <t>Realizar el 20% del diseño del Componente  Escuela Curriculo y Pedagogía</t>
  </si>
  <si>
    <t>Realizar el diseño del Componente Escuela, Curriculo y pedagogía</t>
  </si>
  <si>
    <t>Total Meta: Estudios en Escuela Curriculo y pedagogía</t>
  </si>
  <si>
    <t>Compraventa de puntos ecológicos para la clasificación de los residuos en cumplimiento a las obligaciones del convenio interadministrativo 2570 del 30 de mayo de 2012 entre el Instituto para la investigación Educativa y el Desarrollo Pedagogico -IDEP y la Secretaría de Educación del Distrito Capital SED.</t>
  </si>
  <si>
    <t>Soluciones Ancla</t>
  </si>
  <si>
    <t>Mínima
 Cuantía</t>
  </si>
  <si>
    <t>Compraventa de equipos de cocina tipo industrial, en cumplimiento de las obligaciones del convenio interadministrativo 2570 del 30 de mayo de 2012 entre el Instituto para la investigación Educativa y el Desarrollo Pedagogico -IDEP y la Secretaría de Educación del Distrito Capital SED.</t>
  </si>
  <si>
    <t>Eco Clean Foof</t>
  </si>
  <si>
    <t>Compraventa de Gimnasio al aire libre, para dar cumplimiento a las obligaciones del convenio interadministrativo 2570 del 30 de mayo de 2012 entre el Instituto para la investigación Educativa y el Desarrollo Pedagogico -IDEP y la Secretaría de Educación del Distrito Capital SED.</t>
  </si>
  <si>
    <t>Haute Ltda</t>
  </si>
  <si>
    <t>SALDO 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</si>
  <si>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FERRETERIA MAKROINSUMOS S.A.S</t>
  </si>
  <si>
    <t>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</si>
  <si>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SALDO 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</si>
  <si>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Sonido Dmarca Ltda</t>
  </si>
  <si>
    <t>Julio</t>
  </si>
  <si>
    <t>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</si>
  <si>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SALDO 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</si>
  <si>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ojo revisar contrato</t>
  </si>
  <si>
    <t>LA GRAN PAPELERA</t>
  </si>
  <si>
    <t>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</si>
  <si>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SALDO 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</si>
  <si>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COLTECH S.A.S</t>
  </si>
  <si>
    <t>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</si>
  <si>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SALDO 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</si>
  <si>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minima cuantia</t>
  </si>
  <si>
    <t>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</si>
  <si>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Compraventa de guadua, en cumplimiento  de las  obligaciones del convenio interadministrativo 2570 del 30 de mayo de 2012 entre el Instituto para la Investigación Educativa y el Desarrollo Pedagógico- IDEP y la Secretaría de Educación del Distrito Capital - SED</t>
  </si>
  <si>
    <t>ARME IDEAS EN GUADUA LTDA</t>
  </si>
  <si>
    <t>Compraventa de equipos  electrodomésticos, para dar cumplimiento  de las  obligaciones del convenio interadministrativo 2570 del 30 de mayo de 2012 entre el Instituto para la Investigación Educativa y el Desarrollo Pedagógico- IDEP y la Secretaría de Educación del Distrito Capital - SED</t>
  </si>
  <si>
    <t>Jesús gomez</t>
  </si>
  <si>
    <t>SALDO 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</si>
  <si>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Rodrigo Cortez</t>
  </si>
  <si>
    <t>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</si>
  <si>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Suministro de materiales para el desarrollo del proyecto de ciencia y tecnología en la localidad de Usaquén.</t>
  </si>
  <si>
    <t>convenio 2570</t>
  </si>
  <si>
    <t>116 convenio</t>
  </si>
  <si>
    <t>Adición al Convenio de Asociación No. 116 de 2012</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</si>
  <si>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</si>
  <si>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</si>
  <si>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Prestación de servicios para realizar la divulgación y extensión correspondientes a las actividades del proyecto de ciencia y tecnología en la localidad de Usaquén.</t>
  </si>
  <si>
    <t>Excedentes 
financieros</t>
  </si>
  <si>
    <t>Suministro de insumos de impresión para la realización de publicaciones del IDEP</t>
  </si>
  <si>
    <t>Prestación de servicios profesionales para corrección de estilo, la edición, diseño y producción de un documento publicable en formato digital</t>
  </si>
  <si>
    <t>Proyecto de ciencia y tecnología en la localidad de Usaquen  Convenio 2570 del 2012 (actividad del año 2012</t>
  </si>
  <si>
    <t>UNIVERSIDAD DISTRITAL</t>
  </si>
  <si>
    <t>Junio</t>
  </si>
  <si>
    <t xml:space="preserve"> Prestación de servicios  para realizar un estudio sobre experiencias significativas de saberes tecno-mediados de niños, niñas, jovenes y maestros en colegios que hagan parte del sistema educativo oficial distrital a desarrollarsedurante los años 2013 y 2014</t>
  </si>
  <si>
    <t xml:space="preserve"> Saberes Tecno-mediados en niños, niñas, jovenes y maestros</t>
  </si>
  <si>
    <t>Juan Sebastian Ruiz</t>
  </si>
  <si>
    <t>Prestación de servicios profesionales para realizar el análisis y procesamiento de textos históricos del campo educativo y pedagógico para su publicación digital en el Centro Virtual de Memoria en educaión y Pedagogía CVMEP.</t>
  </si>
  <si>
    <t>Rosa Evelyn Avella</t>
  </si>
  <si>
    <t>Prestación de servicios profesionales para apoyar como co-investigador(a) la segunda fase  del diseño del componente  de Escuela, Currículo y Pedagogía para la caracterización  de la escuela  desde el análisis  de la normatividad vigente .</t>
  </si>
  <si>
    <t>Universidad javeriana</t>
  </si>
  <si>
    <t>Prestación de servicios para realizar un estudio sobre proyectos y/o experiencias significativas de saberes en la temática"arte y corporeidad" en por lo menos 10 instituciones educativas que hagan parte del sistema educativo oficial distrital, acompanando el diseño y ejecución de los proyectos de investigación que recojan las experiencias de las instituciones en la temática.</t>
  </si>
  <si>
    <t>Saira Benitez</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</si>
  <si>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“experiencia pedagógica-maestros-escuela” en los años 2011 a 2013</t>
  </si>
  <si>
    <t>Antonio Vargas</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</si>
  <si>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“lenguaje y escuela” en los años 2011 a 2013</t>
  </si>
  <si>
    <t>Ana Cristina Leon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</si>
  <si>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“comunicación-educación” entre los años 2011 y 2013.</t>
  </si>
  <si>
    <t>Sonia Patricia Urazan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</si>
  <si>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“comunicación-medios-escuela” en los años 2011 a 2013.</t>
  </si>
  <si>
    <t>Martha Elena Marino</t>
  </si>
  <si>
    <t>Prestación de servicios profesionales como auxiliar de investigación del estudio Saberes sobre la temática Lenguajes y comunicación</t>
  </si>
  <si>
    <t>David rubio</t>
  </si>
  <si>
    <t>Prestación de Servicios profesionales como Investigador Principal para la orientación conceptual y metodológica del estudio sobre Saberes en la temática Lenguajes y Comunicación.</t>
  </si>
  <si>
    <t>Prestación de Servicios de persona natural o juridica con experiencia en trabajos en las áreas de lenguaje y comunicación</t>
  </si>
  <si>
    <t>Jorge Tadeo</t>
  </si>
  <si>
    <t>Prestación de servicios profesionales para orientar académicamente el estudio de saberes en arte y corporeidad</t>
  </si>
  <si>
    <t>Dora Lilia Marin</t>
  </si>
  <si>
    <t>Prestación de servicios profesionales para orientar académicamente el estudio de saberes en lenguajes y comunicación</t>
  </si>
  <si>
    <t xml:space="preserve">Construcción de saberes en la escuela </t>
  </si>
  <si>
    <t>excedentes 
financieros</t>
  </si>
  <si>
    <t>Aunar esfuerzos académicos, didácticos, pedagógicos, técnicos y económicos para la realización y coordinación de eventos académicos del idep, en cumplimiento del proyecto de inversión 702</t>
  </si>
  <si>
    <t>Yira Gutierrez</t>
  </si>
  <si>
    <t>Prestación de servicios profesionales para apoyar el desarrollo de los  proyectos: “Valoración y Abordaje de procesos de desarrollo, Aprendizaje y sus Dificultades – fase: abordaje pedagógico”  e "Investigaciones e Innovaciones" en incorporación pedagógica  e investigativa de las TIC.</t>
  </si>
  <si>
    <t>Claudia Carrillo</t>
  </si>
  <si>
    <t>Prestación de Servicios profesionales para acompañar la realización del proyecto "Investigaciones e Innovaciones" en el eje de Innovación.</t>
  </si>
  <si>
    <t>Nadia Hernandez</t>
  </si>
  <si>
    <t>Prestación de Servicios profesionales para acompañar la realización del proyecto “Investigaciones e Innovaciones”, en el eje de Investigación.</t>
  </si>
  <si>
    <t>Fanny Blandon</t>
  </si>
  <si>
    <t>Prestación de Servicios profesionales para orientar y liderar el proyecto “Investigaciones e innovaciones”</t>
  </si>
  <si>
    <t>Andrea Bustamante Ramirez</t>
  </si>
  <si>
    <t>Investigaciones e innovaciones</t>
  </si>
  <si>
    <t>Matha Caro</t>
  </si>
  <si>
    <t>Prestación de servicios parar apoyar el trabajo de campo del proyecto: “Valoración y Abordaje de procesos de desarrollo, aprendizaje y sus dificultades – fase: abordaje pedagógico en la zona 2</t>
  </si>
  <si>
    <t>María jimena Diaz</t>
  </si>
  <si>
    <t>Prestación de servicios parar apoyar el trabajo de campo del proyecto: “Valoración y Abordaje de procesos de desarrollo, aprendizaje y sus dificultades – fase: abordaje pedagógico en la zona 1</t>
  </si>
  <si>
    <t>Prestación de servicios profesionales para apoyar el desarrollo de los  proyectos: “Valoración y Abordaje de procesos de desarrollo, Aprendizaje y sus Dificultades – fase: abordaje pedagógico” y e "Investigaciones e Innovaciones" en incorporación pedagógica  e investigativa de las TIC.</t>
  </si>
  <si>
    <t>Luz 
Clemencia Albarracin</t>
  </si>
  <si>
    <t>Prestación de servicios profesionales para acompañar el desarrollo del proyecto: “Valoración y Abordaje de procesos de desarrollo, aprendizaje y sus dificultades – fase: abordaje pedagógico”, desde el área de procesos  psicoafectivos y emocionales.</t>
  </si>
  <si>
    <t>Geidy 
Maritza Ortiz</t>
  </si>
  <si>
    <t>Prestación de servicios profesionales para acompañar el desarrollo del proyecto: “Valoración y Abordaje de procesos de desarrollo, aprendizaje y sus dificultades – fase: abordaje pedagógico”, desde el área de procesos cognoscitivos y factores neuropsicológicos que intervienen en el aprendizaje.</t>
  </si>
  <si>
    <t>Jenny
 Rocio Leon Canro</t>
  </si>
  <si>
    <t>Prestación de servicios profesionales para acompañar el desarrollo del proyecto: “Valoración y Abordaje de procesos de desarrollo, aprendizaje y sus dificultades – fase: abordaje pedagógico”, desde el área de lenguaje y desarrollo psicomotriz</t>
  </si>
  <si>
    <t>Liced Zea</t>
  </si>
  <si>
    <t>Prestación de servicios profesionales para acompañar el desarrollo del proyecto: “Valoración y Abordaje de procesos de desarrollo, aprendizaje y sus dificultades – fase: abordaje pedagógico”, desde el área de desarrollo de pensamiento lógico-matemático</t>
  </si>
  <si>
    <t>Yolanda 
Blanco carrillo</t>
  </si>
  <si>
    <t>Prestación de servicios profesionales para orientar y liderar el desarrollo del proyecto: “Valoración y Abordaje de procesos de desarrollo, aprendizaje y sus dificultades – fase: abordaje pedagógico”, dando línea conceptual, metodológica  y de gestión al equipo de investigación.</t>
  </si>
  <si>
    <t>Luisa Fernanda Acuña Beltran</t>
  </si>
  <si>
    <t>Valoración y Abordaje de procesos de desarrollo, aprendizaje y sus dificultades</t>
  </si>
  <si>
    <t>Blas Castro</t>
  </si>
  <si>
    <t>Prestación de servicios para realizar la asistencia al componente investigativo y de sistematización del proyecto: “Valoración y Abordaje de procesos de desarrollo, aprendizaje y sus dificultades”, en el levantamiento de los registros audiovisuales, requeridos en el desarrollo del mismo</t>
  </si>
  <si>
    <t>Gladys Amaya</t>
  </si>
  <si>
    <t>Prestación se servicios profesionales para realizar la sistematización del proyecto denominado: “Valoración y Abordaje de procesos de desarrollo, aprendizaje y sus dificultades, en sus diferentes fases</t>
  </si>
  <si>
    <t>Sistematización</t>
  </si>
  <si>
    <t>Universidad 
Distrital Fco Jose de Caldas</t>
  </si>
  <si>
    <t>Aunar  esfuerzos para realizar una investigación en organización y gestión escolar</t>
  </si>
  <si>
    <t>Organización y gestión escolar .</t>
  </si>
  <si>
    <t>Aunar esfuerzos y recursos para formular, de manera participativa con doentes de colegios oficiales de Bogotá y otras regiones del pais, el programa para la convivencia escolar UAQUE</t>
  </si>
  <si>
    <t>Prestación de servicios profesionales de apoyo a las actividades investigativas a desarrollar en el proyecto Convivencia escolar.</t>
  </si>
  <si>
    <t>Prestación de servicios profesionales de apoyo a las actividades de tipo ambiental a desarrollar en el proyecto Convivencia escolar</t>
  </si>
  <si>
    <t>Prestación de servicios profesionales para orientar, acompañar y revisar las actividades investigativas a desarrollar en el proyecto Convivencia escolar</t>
  </si>
  <si>
    <t xml:space="preserve">Ruth Amanda Cortés Salcedo      </t>
  </si>
  <si>
    <t>Convivencia escolar.</t>
  </si>
  <si>
    <t>Porcentaje de avance de los Estudios desarrollados en Escuela, currículo y pedagogía.</t>
  </si>
  <si>
    <t>Desarrollar 7 estudios en Escuela Curriculo y Pedagogía en el año 2013 y terminar el 0,80% del estudio del año 2012.</t>
  </si>
  <si>
    <t>Desarrollar 23 estudios 
en Escuela, currículo y pedagogía</t>
  </si>
  <si>
    <t>ESCUELA, CURRICULO Y PEDAOGÍA</t>
  </si>
  <si>
    <t>Proyecto No. 702 : Investigación e innovación para la construcción de conocimiento educativo y pedagógico.</t>
  </si>
  <si>
    <t xml:space="preserve">RECURSOS DE LA VIGENCIA </t>
  </si>
  <si>
    <t>RESERVAS</t>
  </si>
  <si>
    <t>FONDOS DESTINACION ESPECIFICA</t>
  </si>
  <si>
    <t>RECURSOS
PROPIOS</t>
  </si>
  <si>
    <t xml:space="preserve">Modalidad </t>
  </si>
  <si>
    <t>Duración</t>
  </si>
  <si>
    <t>Inicio</t>
  </si>
  <si>
    <t>VALOR PENDIENTE DE PAGO A 17/12/2013</t>
  </si>
  <si>
    <t>PENDIENTE DE EJECUTAR A 17/12/2013</t>
  </si>
  <si>
    <t>Total
 comprometido excedentes financieros</t>
  </si>
  <si>
    <t>Total
Excedentes
 financieros</t>
  </si>
  <si>
    <t>RUBROS</t>
  </si>
  <si>
    <t>Porcentaje
de ejecución</t>
  </si>
  <si>
    <t>Nombre del Contratista</t>
  </si>
  <si>
    <t>No. Contrato</t>
  </si>
  <si>
    <t>Fecha Contrato</t>
  </si>
  <si>
    <t>RECURSOS 
PROPIOS</t>
  </si>
  <si>
    <t>TRANSF.</t>
  </si>
  <si>
    <t>CONTRATO</t>
  </si>
  <si>
    <t>Viabilildad Expedida</t>
  </si>
  <si>
    <t>Responsable</t>
  </si>
  <si>
    <t>Indicadores</t>
  </si>
  <si>
    <t>METAS 2013</t>
  </si>
  <si>
    <t>Metas Plan de Desarrollo 2002-2016</t>
  </si>
  <si>
    <r>
      <t xml:space="preserve">Proyecto Prioritario No. 235: </t>
    </r>
    <r>
      <rPr>
        <sz val="10"/>
        <color indexed="8"/>
        <rFont val="Arial"/>
        <family val="2"/>
      </rPr>
      <t>Sistemas de mejoramiento de la gestión y de la capacidad operativa de las entidades.</t>
    </r>
  </si>
  <si>
    <r>
      <t>Programa:</t>
    </r>
    <r>
      <rPr>
        <sz val="10"/>
        <color indexed="8"/>
        <rFont val="Arial"/>
        <family val="2"/>
      </rPr>
      <t xml:space="preserve"> Fortalecimiento de la función administrativa y desarrollo institucional.</t>
    </r>
  </si>
  <si>
    <r>
      <t xml:space="preserve">Objetivo estratégico: </t>
    </r>
    <r>
      <rPr>
        <sz val="10"/>
        <color indexed="8"/>
        <rFont val="Arial"/>
        <family val="2"/>
      </rPr>
      <t>Una Bogotá que defiende y fortalece lo público.</t>
    </r>
  </si>
  <si>
    <r>
      <t>Proyecto No. 907:</t>
    </r>
    <r>
      <rPr>
        <sz val="10"/>
        <color indexed="8"/>
        <rFont val="Arial"/>
        <family val="2"/>
      </rPr>
      <t xml:space="preserve"> Fortalecimiento Institucional.</t>
    </r>
  </si>
  <si>
    <r>
      <t xml:space="preserve">Proyecto Prioritario No. 117: </t>
    </r>
    <r>
      <rPr>
        <sz val="10"/>
        <color indexed="8"/>
        <rFont val="Arial"/>
        <family val="2"/>
      </rPr>
      <t xml:space="preserve">Fortalecimiento de las instituciones educativas con empoderamiento ciudadano, docente y mejoramiento de la gestión sectorial. </t>
    </r>
  </si>
  <si>
    <r>
      <t>Programa:</t>
    </r>
    <r>
      <rPr>
        <sz val="10"/>
        <color indexed="8"/>
        <rFont val="Arial"/>
        <family val="2"/>
      </rPr>
      <t xml:space="preserve"> Construcción de saberes. Educación incluyente, diversa y de calidad para disfrutar y aprender.</t>
    </r>
  </si>
  <si>
    <r>
      <t>Objetivo estratégico</t>
    </r>
    <r>
      <rPr>
        <sz val="10"/>
        <color indexed="8"/>
        <rFont val="Arial"/>
        <family val="2"/>
      </rPr>
      <t>: Una ciudad que supera la segregación: el ser humano en el centro de las preocupaciones del desarrollo</t>
    </r>
    <r>
      <rPr>
        <i/>
        <sz val="10"/>
        <color indexed="8"/>
        <rFont val="Arial"/>
        <family val="2"/>
      </rPr>
      <t>.</t>
    </r>
  </si>
  <si>
    <r>
      <t>Proyecto No. 702 :</t>
    </r>
    <r>
      <rPr>
        <sz val="10"/>
        <color indexed="8"/>
        <rFont val="Arial"/>
        <family val="2"/>
      </rPr>
      <t xml:space="preserve"> Investigación e innovación para la construcción de conocimiento educativo y pedagógico.</t>
    </r>
  </si>
  <si>
    <t>Paginas:</t>
  </si>
  <si>
    <t>Versión: 1</t>
  </si>
  <si>
    <t>Código:  FT-PE-01-01</t>
  </si>
  <si>
    <t>PLAN DE COMPRAS AÑO 2013</t>
  </si>
  <si>
    <t>Código: FT-DIP-02-01</t>
  </si>
  <si>
    <t>Gobierno Legítimo, Fortalecimiento Local y Eficiencia.</t>
  </si>
  <si>
    <t>Transparencia, Gestión Pública y Servicio a la Ciudadanía</t>
  </si>
  <si>
    <t>Fortalecimiento de la gestión educativa institucional</t>
  </si>
  <si>
    <t>Fortalecimiento a la Gestión Institucional</t>
  </si>
  <si>
    <t>Calidad educativa para todos</t>
  </si>
  <si>
    <t>Total Meta</t>
  </si>
  <si>
    <t>Indicador Plan de Desarrollo</t>
  </si>
  <si>
    <t>DURACION MESES</t>
  </si>
  <si>
    <t>Total Actividad</t>
  </si>
  <si>
    <t xml:space="preserve">Total Meta </t>
  </si>
  <si>
    <t>Realizar cinco (5) estudios de la  Estrategia de cualificación, investigación e innovación docente: comunidades de saber y de práctica pedagógica</t>
  </si>
  <si>
    <t>Realizar un (1) estudio de la  Estrategia de cualificación, investigación e innovación docente: comunidades de saber y de práctica pedagógica</t>
  </si>
  <si>
    <t>TOTAL PROYECTO No. 1079 " Investigación e innovación para el fortalecimiento de las comunidades de saber y de práctica pedagógica"</t>
  </si>
  <si>
    <t>TOTAL PROYECTO 1039 "Fortalecimiento a la Gestión Institucional"</t>
  </si>
  <si>
    <t>Pilar Eje No. 01</t>
  </si>
  <si>
    <t>Igualdad de Calidad de Vida</t>
  </si>
  <si>
    <t>Programa 06</t>
  </si>
  <si>
    <t>Fortalecimiento Institucional desde la Gestión Pedagogíca</t>
  </si>
  <si>
    <t>Bogotá reconoce a sus maestras, maestros y directivos docentes.</t>
  </si>
  <si>
    <t>Proyecto No.1079</t>
  </si>
  <si>
    <t xml:space="preserve"> Investigación e innovación para el fortalecimiento de las comunidades de saber y práctica pedagógica.</t>
  </si>
  <si>
    <t>Total componente No. 2 "Estrategia de cualificación, investigación e innovación docente: comunidades de saber y de práctica pedagógica"</t>
  </si>
  <si>
    <t>Proyecto Estrategico 115</t>
  </si>
  <si>
    <r>
      <rPr>
        <b/>
        <sz val="8"/>
        <color theme="1"/>
        <rFont val="Arial"/>
        <family val="2"/>
      </rPr>
      <t xml:space="preserve">Proyecto No.1039 </t>
    </r>
    <r>
      <rPr>
        <sz val="8"/>
        <color theme="1"/>
        <rFont val="Arial"/>
        <family val="2"/>
      </rPr>
      <t>Fortalecimiento a la Gestión Institucional</t>
    </r>
  </si>
  <si>
    <t xml:space="preserve">Plan de Desarrollo </t>
  </si>
  <si>
    <t xml:space="preserve">Proy Estratégico No.184 </t>
  </si>
  <si>
    <t>Proyecto  No. 1039</t>
  </si>
  <si>
    <t>Proyecto Estrategico 113</t>
  </si>
  <si>
    <t>Bogotá Mejor para todos. 2016-2020</t>
  </si>
  <si>
    <t>Página 1 de 4</t>
  </si>
  <si>
    <t>OLGA LUCÍA SÁNCHEZ MENDIETA</t>
  </si>
  <si>
    <t xml:space="preserve">Jefe Oficina Asesora de Planeación </t>
  </si>
  <si>
    <t>Sostener 100% la implementación del Sistema Integrado de Gestión</t>
  </si>
  <si>
    <t>Realizar once (11) Estudios en Escuela currículo y pedagogía, Educación y políticas públicas y Cualificación docente del componente de cualificación, investigación e innovación docente: Comunidades de saber y de práctica pedagógica.</t>
  </si>
  <si>
    <t>Realizar (13) Estudios en Escuela currículo y pedagogía, Educación y políticas públicas y Cualificación docente</t>
  </si>
  <si>
    <t>Meta Proyecto  2016-2020</t>
  </si>
  <si>
    <t>Meta vigencia 2017</t>
  </si>
  <si>
    <t>CLAUDIA LUCÍA SÁENZ BLANCO</t>
  </si>
  <si>
    <t xml:space="preserve">Desarrollar una  (1) estrategia de comunicación, socialización y divulgación de la cualificación, investigación e innovación docente: Comunidades de saber y de práctica </t>
  </si>
  <si>
    <t>TOTAL PLAN DE ACCIÓN  BOGOTÁ MEJOR PARA TODOS AÑO 2017.</t>
  </si>
  <si>
    <t>Subirector Administrativo Financiero
Jefe OAP</t>
  </si>
  <si>
    <t>Realizar tres (3) Estudios Escuela Curriculo y Pedagogía, Educación y políticas públicas y Cualificación docente componente de cualificación, investigación e innovación docente:Comunidades de saber y de práctica pedagógica.</t>
  </si>
  <si>
    <t>Desarrollar una (1) estrategia de Comunicación, socialización y divulgación: Componente 1</t>
  </si>
  <si>
    <t>Desarrollar  una (1) estrategia de Comunicación, Socialización y Divulgación: Componente 1</t>
  </si>
  <si>
    <t>Realizar cinco (5) estudios Sistema de seguimiento a la política educativa distrital en los contextos escolares.</t>
  </si>
  <si>
    <t>% de avance conjunto en la implementación y sostenibilidad del sistema integrado de gestión de acuerdo con la norma técnica distrital NTDSIG 001:2011</t>
  </si>
  <si>
    <r>
      <rPr>
        <sz val="7"/>
        <color indexed="63"/>
        <rFont val="Times New Roman"/>
        <family val="1"/>
      </rPr>
      <t xml:space="preserve"> </t>
    </r>
    <r>
      <rPr>
        <sz val="7"/>
        <color indexed="63"/>
        <rFont val="Calibri"/>
        <family val="2"/>
      </rPr>
      <t>Realizar un (1) estudio Sistema de seguimiento a la política educativa distrital en los contextos escolares.</t>
    </r>
  </si>
  <si>
    <r>
      <t xml:space="preserve">Total componente No. 1: </t>
    </r>
    <r>
      <rPr>
        <sz val="7"/>
        <color theme="1"/>
        <rFont val="Arial"/>
        <family val="2"/>
      </rPr>
      <t>"</t>
    </r>
    <r>
      <rPr>
        <b/>
        <sz val="7"/>
        <color theme="1"/>
        <rFont val="Arial"/>
        <family val="2"/>
      </rPr>
      <t>Seguimiento a la política educativa distrital en los contextos escolares, ajustado e implementado"</t>
    </r>
  </si>
  <si>
    <t>Proyecto Estrategico Plan de Desarrollo</t>
  </si>
  <si>
    <t>Metas de Resultado Plan de Desarrollo  2016-2020</t>
  </si>
  <si>
    <t>Codigo 383 
Un sistema de seguimiento a la Política Educativa Distrital en los contestos Escolare Ajustado e Implementado</t>
  </si>
  <si>
    <t>Componente No.1 "Sistema de Seguimiento a la política educativa distrital en los contextos escolares."</t>
  </si>
  <si>
    <t>115 Fortalecimiento Institucional desde la Gestión Pedagogíca</t>
  </si>
  <si>
    <t>113 Bogotá reconoce a sus maestras, maestros y directivos docentes.</t>
  </si>
  <si>
    <t>Codigo 386 
Tres centros de Innovación que dinamizan las Estrategias y procesos en la Red de Innovación del Maestro</t>
  </si>
  <si>
    <t>Componente N° 2: Estategia de Cualificación investigación e innovación docente: Comunidades de saber y de práctica pedagógica</t>
  </si>
  <si>
    <t>Programa No.42</t>
  </si>
  <si>
    <t>Pilar / Eje No. 7</t>
  </si>
  <si>
    <t>Fecha de Aprobación:23/10/2016</t>
  </si>
  <si>
    <t>Versión: 4</t>
  </si>
  <si>
    <t>Sostenibilidad del   Sistema Integrado de Gestión</t>
  </si>
  <si>
    <t>Código: FT-DIP- 02-02</t>
  </si>
  <si>
    <t>Versión:3</t>
  </si>
  <si>
    <t>Fecha Aprobación 23/12/2016</t>
  </si>
  <si>
    <t>Página: 1 de 8</t>
  </si>
  <si>
    <t xml:space="preserve">Plan Distrital de Desarrollo </t>
  </si>
  <si>
    <t>"Bogotá Mejor para Todos". 2016-2020</t>
  </si>
  <si>
    <t>Proyecto  de Inversión No.</t>
  </si>
  <si>
    <t>1079  Investigación e innovación para el fortalecimiento de las comunidades de saber y práctica pedagógica.</t>
  </si>
  <si>
    <t>Pilar / Eje</t>
  </si>
  <si>
    <t>01 Igualdad de Calidad de Vida</t>
  </si>
  <si>
    <t xml:space="preserve">Programa </t>
  </si>
  <si>
    <t>06 Calidad educativa para todos</t>
  </si>
  <si>
    <t>Proyecto Estrategico</t>
  </si>
  <si>
    <t>Proyecto Estratégico Plan de Desarrollo</t>
  </si>
  <si>
    <t>Metas de resultado Plan de Desarrollo</t>
  </si>
  <si>
    <t>Componente del proyecto de Inversión</t>
  </si>
  <si>
    <t>Metas Proyecto del 2016 AL 2020</t>
  </si>
  <si>
    <t>Meta Vigencia 2017</t>
  </si>
  <si>
    <t>Item SIAFI</t>
  </si>
  <si>
    <t>Códigos</t>
  </si>
  <si>
    <t>SUPERVISOR</t>
  </si>
  <si>
    <t>CORREO</t>
  </si>
  <si>
    <t>PROGRAMACIÓN CONTRATO</t>
  </si>
  <si>
    <t>MODALIDAD SECOP</t>
  </si>
  <si>
    <t>VIABILIDAD</t>
  </si>
  <si>
    <t xml:space="preserve">Seguimiento a </t>
  </si>
  <si>
    <t>VALOR CONVENIO</t>
  </si>
  <si>
    <t>VALOR TRANSFERENCIAS</t>
  </si>
  <si>
    <t>VALOR TOTAL</t>
  </si>
  <si>
    <t>ITEM CONTRATACIÓN A LA  VISTA</t>
  </si>
  <si>
    <t>INICIO</t>
  </si>
  <si>
    <t>DURACIÓN</t>
  </si>
  <si>
    <t>MODALIDAD</t>
  </si>
  <si>
    <t xml:space="preserve">Total Actividad </t>
  </si>
  <si>
    <t xml:space="preserve">TOTAL META </t>
  </si>
  <si>
    <t>Realizar un (1) estudio Sistema de seguimiento a la política educativa distrital en los contextos escolares.</t>
  </si>
  <si>
    <t>TOTAL META</t>
  </si>
  <si>
    <t>TOTAL COMPONNENTE No. 1 : Seguimiento a la política Educativa Distrital en los contextos escolares, ajustado e implementado</t>
  </si>
  <si>
    <t>Realizar cinco (5) estudios de la Estrategia de cualificación, investigación e innovación docente: comunidades de saber y de práctica pedagógica"</t>
  </si>
  <si>
    <t xml:space="preserve"> Realizar un (1) estudio de la  Estrategia de cualificación, investigación e innovación docente: comunidades de saber y de práctica pedagógica</t>
  </si>
  <si>
    <t>TOTAL COMPONENTE 2 : Estratégia de Cualificación, Investigación e Innovación Docente: Comunidades de Saber y Práctica Pedagógica</t>
  </si>
  <si>
    <t>TOTAL PROYECTO DE INVERSIÓN No. 1079 Investigación e innovación para el fortalecimiento de las comunidades de saber y práctica pedagógica.</t>
  </si>
  <si>
    <t>1039 Fortalecimiento a la Gestión Institucional</t>
  </si>
  <si>
    <t>7  Eje Transversal Gobierno legítimo, fortalecimiento local y eficiencia</t>
  </si>
  <si>
    <t>42 Transparencia, Gestión Pública y Servicio a la Ciudadanía</t>
  </si>
  <si>
    <t>Proyecto Estratégico</t>
  </si>
  <si>
    <t>184 Fortalecimiento de la gestión educativa institucional</t>
  </si>
  <si>
    <t xml:space="preserve">RECURSOS 
DE LA VIGENCIA </t>
  </si>
  <si>
    <t>RECURSOS
 PROPIOS</t>
  </si>
  <si>
    <t>Codido 419
Sostener en el 100% la implementación del Sistema Integrado de Gestión</t>
  </si>
  <si>
    <t>Sostenibilidad del Sistema Integrado de Gestión</t>
  </si>
  <si>
    <t>TOTAL PROYECTO No. 1039</t>
  </si>
  <si>
    <t>TOTAL PLAN DE ADQUISICIONES 2016 BOGOTÁ MEJOR PARA TODOS</t>
  </si>
  <si>
    <t>CLAUDIA LUCIA SAENZ BLANCO</t>
  </si>
  <si>
    <t>Directora General  IDEP</t>
  </si>
  <si>
    <t>CARLOS GERMAN PLAZAS BONILLA</t>
  </si>
  <si>
    <t>ADRIANA DIAZ IZQUIERDO</t>
  </si>
  <si>
    <t>Subdirector Administrativo Financiero y de Control Disciplinario</t>
  </si>
  <si>
    <t>Jefe Oficina Asesora Jurídica</t>
  </si>
  <si>
    <t>PLAN DE ADQUISICIONES INVERSIÓN 2018</t>
  </si>
  <si>
    <t>Profesional SIG</t>
  </si>
  <si>
    <t>Profesional DIP</t>
  </si>
  <si>
    <t>Subsistema de Gestión</t>
  </si>
  <si>
    <t>Situación encontrada a agosto 2016</t>
  </si>
  <si>
    <t>Presupuesto</t>
  </si>
  <si>
    <t>28 de septiembre</t>
  </si>
  <si>
    <t>2016 Diciembre</t>
  </si>
  <si>
    <t>2017 Diciembre</t>
  </si>
  <si>
    <t>2018 PRESENTACION HACIENDA</t>
  </si>
  <si>
    <t>2018 INDISPENSABLE</t>
  </si>
  <si>
    <t>Logro</t>
  </si>
  <si>
    <t>Especificación</t>
  </si>
  <si>
    <t>Total Plan de Adquisiciones</t>
  </si>
  <si>
    <t>Reto</t>
  </si>
  <si>
    <t>Item</t>
  </si>
  <si>
    <t>Valores</t>
  </si>
  <si>
    <t>RECURSOS BALANCE LIBRE DESTINACION</t>
  </si>
  <si>
    <t>1. Subsistema de Gestión de la Calidad - SGC</t>
  </si>
  <si>
    <t>&gt; Plataforma estratégica desactualizada
&gt; Sistema de Gestión desarticulado
&gt;Procesos documentados pero  que no correspondían a la tarea ejecutada
&gt;Documentación excesiva
&gt;Plan de Mejoramiento con acciones vencidas
&gt; Plan SISIG sin ejecutar, por ausencia del contratista</t>
  </si>
  <si>
    <t>&gt; Ajuste de los planes de mejoramiento para cerrar los hallazgos vencidos.
&gt; Revisión del Sistema Integrado de Gestión
&gt; Diagnóstico de cada uno de los 7 subsistemas con  base en la Norma Técnica y los Lineamientos de la Secretaría General.
&gt;Formulación del plan de acción para cumplir con el 100% del SISIG</t>
  </si>
  <si>
    <t>&gt; Alineación y actualización de la plataforma estratégica 2016-2020 (Misión, visión, objetivos estratégicos, proyectos de inversión)
&gt; Ajuste del mapa de procesos con la plataforma estratégica
&gt; Documentación del proceso misional Investigación y Desarrollo Pedagógico
&gt; Ajuste de la documentación de  los procesos estratégicos, de apoyo y de evaluación y mejora.</t>
  </si>
  <si>
    <t xml:space="preserve">&gt; Sostenibilidad del SIG - Apoyos y gestión por procesos
&gt; Implementación del proceso Control Disciplinario 
&gt; Implementación del Nuevo Marco Normativo Contable </t>
  </si>
  <si>
    <t>&gt; Sostenibilidad del SIG
&gt; Auditoría de Certificación</t>
  </si>
  <si>
    <t>&gt; Certificación del Sistema Integrado de Gestión del IDEP</t>
  </si>
  <si>
    <t>Abogado OAJ</t>
  </si>
  <si>
    <t>Profesional Nuevo Marco Normativo 2017</t>
  </si>
  <si>
    <t>Subtotal SGC</t>
  </si>
  <si>
    <t>2. Subsistema de Control Interno -SCI</t>
  </si>
  <si>
    <t>&gt; Hallazgos formulados por la OCI sin el correspondiente plan de mejoramiento.
&gt; Planes de mejoramiento vencidos</t>
  </si>
  <si>
    <t xml:space="preserve">&gt; Trabajo articulado con la OCI, en el sentido de formular los hallazgos de forma clara y concreta.
&gt; Revisión de los planes de mejoramiento </t>
  </si>
  <si>
    <t xml:space="preserve">&gt; Articulacióndel Proceso de Evaluación y Control
&gt; Elaboración del código de Buen Gobierno
&gt; Conformación del equipo ético y formulación del plan de gestión ética.
&gt; Cierre de hallazgos
&gt; Planes de mejoramiento actualizados 
&gt;Alineación de los instrumentos de planeación y control (POA, Indicadores de Gestión, Plan de Acción, Plan de mejoramiento, entre otros)
</t>
  </si>
  <si>
    <t>Profesional Universitario o Profesional Especializado</t>
  </si>
  <si>
    <t>&gt; Apropiación del Sistema de Control Interno por parte de todos los funcionarios y contratistas del IDEP
&gt; Sostenibilidad del SCI en el marco del SIG
&gt; Desarrollo de Estrategias de Fomento de Autocontrol y Sostenibilidad del SCI</t>
  </si>
  <si>
    <t>&gt; Auditoría especial Implementacion del Nuevo Marco Normativo Contable
(Contador 2 meses para auditar el Nuevo marco c)</t>
  </si>
  <si>
    <t>Sensibilización SCI</t>
  </si>
  <si>
    <t>Contador por 2 meses</t>
  </si>
  <si>
    <t>Subtotal SCI</t>
  </si>
  <si>
    <t>3. Subsistema de Seguridad de la Información -SGSI</t>
  </si>
  <si>
    <t>&gt; Sistema de gestión sin el diagnósitico solicitado por MINTIC y por la Alta Consejería.
&gt; PETIC desactualizado</t>
  </si>
  <si>
    <t>&gt; Elaboración del 40% del diagnóstico
&gt; Actualización del PETIC 2016 
&gt; Revisión de los contratos de tecnología y sistemas de información, seguimiento y control a las obligaciones pactadas.</t>
  </si>
  <si>
    <t>&gt; Finalización del diagnóstico
&gt; Formulación del PETIC 2017
&gt; Elaboración de la base de datos de activos de información de hardware, software y servicios.
&gt; Suscripción de Planes de Mejoramiento con los proveedores de servicios de mantenimiento para lo sistemas de información (SIAFI, HUMANO)
&gt;  Primera fase del proyecto de  Hiperconvergencia (virtualización del centro de cómputo: 2 nodos,  2 switch, PDU, instalación y soporte)
&gt; Remplazo del firewall actual por ser obsoleto de acuerdo con el diagnóstico.</t>
  </si>
  <si>
    <t>Hiperconvergencia Fase I</t>
  </si>
  <si>
    <t>&gt; Segunda fase Hiperconvergencia (1 nodo, 1 Rack)
&gt; Remplazo de 18 computadores catalogados como obsoletos en el diagnóstico realizado en 2017
&gt; Adquisción de 49 licencias Office 2016 para remplazar el Office 2007.
&gt; Mantenimiento de los activos de información de hardware y software y servicios.
&gt; Adquisición de Rack para cuarto de servidores
&gt; Actualización de las licencias Windows Server para el servidor de Dominio y Aplicaciones (SIAFI - HUMANO)  actualmente 2008.
&gt; Adquisción de la licencia para la administración de bases de datos Oracle , MySQL, otras.
&gt;Migración del servidor y del motor de la base de datos Oracle (Información de SIAFI -HUMANO desde 1999-2017)</t>
  </si>
  <si>
    <t>Hiperconvergencia Fase II - 3er Nodo</t>
  </si>
  <si>
    <t>&gt; Sostenibilidad y mantenimiento hiperconvergencia.
&gt; Mantenimiento de los activos de información de hardware y software y servicios.
&gt; Revisión de posibles soluciones al ERP actual del IDEP (SIAFI)
&gt; Aire acondicionado de precisión para cuarto de servidores
&gt; Compra de Antivirus de 50 a 100 licencias por 36 meses</t>
  </si>
  <si>
    <t>Compra Aire acondicionado</t>
  </si>
  <si>
    <t>&gt; Sostenibilidad y mantenimiento hiperconvergencia.
&gt; Mantenimiento de los activos de información de hardware y software y servicios.
&gt; Remplazo de 20 computadores catalogados como obsoletos en el diagnóstico realizado en 2019
&gt; Adquisción de 10 licencias Office 2016 para remplazar el Office 2010 y 2013.</t>
  </si>
  <si>
    <t>Compra de Equipos</t>
  </si>
  <si>
    <t>Saldo hiperconvergencia fase I</t>
  </si>
  <si>
    <t>Software de Virtualización del 3er nodo de Hiperconvergencia</t>
  </si>
  <si>
    <t>Compra de Antivirus</t>
  </si>
  <si>
    <t>Licencias de Office</t>
  </si>
  <si>
    <t>Compra de 18 Equipos
14 DELL 520
4 DELL 740</t>
  </si>
  <si>
    <t xml:space="preserve">Compra 
14 DELL 520
</t>
  </si>
  <si>
    <t>Profesional Especialidado</t>
  </si>
  <si>
    <t>Licencias de 49 Office</t>
  </si>
  <si>
    <t>Compra de RACK
Mueble, organización, escalerilla
peinado y etiquetado</t>
  </si>
  <si>
    <t>Compra de RACK
Mueble</t>
  </si>
  <si>
    <t>Licencias Windows Server 2012 o 2016</t>
  </si>
  <si>
    <t>Migración del servidor y del motor de la base de datos Oracle (Información de SIAFI -HUMANO desde 1999-2017)</t>
  </si>
  <si>
    <t>Licencia para la administración de bases de datos Oracle, MySQL, otras(Aplicativos TOAD- NAVICAT)</t>
  </si>
  <si>
    <t>Profesional Especializado</t>
  </si>
  <si>
    <t>Subtotal SGSI</t>
  </si>
  <si>
    <t>4. Subsistema Interno de Gestión documental y Archivo - SIGA</t>
  </si>
  <si>
    <t>&gt; Tabla de Retención Documental y de Valoración Documental  sin aprobar por el Archivo Distrital
&gt; Cargo desprovisto, el profesional renunció.</t>
  </si>
  <si>
    <t>&gt; Nombramiento del profesional especializado encargado del Sistema de Gestión Documental del IDEP
&gt; Diagnóstico del Sistema</t>
  </si>
  <si>
    <t>&gt; Elaboración de las  Tablas de Retención Documental TRD y Tablas de Valoración Documental TDV acorde con los procesos del IDEP y su remisión a la Comisión Distrital de Archivos para su convalidación.</t>
  </si>
  <si>
    <t>Laura</t>
  </si>
  <si>
    <t xml:space="preserve">&gt; Aprobación de las TDR y la TVD
&gt; Intervención del archivo para organización de acuerdo con las TDR y TDV
</t>
  </si>
  <si>
    <t>Estructuración TRD y TDV</t>
  </si>
  <si>
    <t xml:space="preserve">
&gt; Intervención del archivo aplicando las TDR y TVD
&gt; Materiales de Protección</t>
  </si>
  <si>
    <t xml:space="preserve">
&gt; Intervención del archivo aplicando las TDR y TVD
&gt; Transferencias Secundarias Archivo de Bogotá
&gt; Materiales de Protección</t>
  </si>
  <si>
    <t>Aplicación de Retencion Documental y Archivo de Gestion</t>
  </si>
  <si>
    <t>Aplicación Valoracion e Intervecion Fondo Acumulado</t>
  </si>
  <si>
    <t>Transferencias Secundarias Archivo de Bogota</t>
  </si>
  <si>
    <t>Materiales de Protección</t>
  </si>
  <si>
    <t>Subtotal SIGA</t>
  </si>
  <si>
    <t>5. Subsistema de Gestión Ambiental - SGA</t>
  </si>
  <si>
    <t>&gt; Plan PIGA sin ejecutar, por ausencia del contratista</t>
  </si>
  <si>
    <t>&gt; Contratación del profesional especializado encargado del PIGA
&gt; Diagnóstico del Sistema</t>
  </si>
  <si>
    <t>&gt;Convenio con la asociación de recicladores de Puente Aranda
&gt; Jornada de recolección de residuos eléctricos, electrónicos &gt; Desarrollo de la Semana Ambiental 
&gt;Separación de residuos en la fuente
&gt;Impresión y copiado controlado de documentos para reducir el consumo de papel</t>
  </si>
  <si>
    <t>Profesional PIGA-Mario Sergio</t>
  </si>
  <si>
    <t>&gt; Ejecución del PIGA de la vigencia</t>
  </si>
  <si>
    <t>Profesional PIGA</t>
  </si>
  <si>
    <t>Apoyo logistico plan de accion anual</t>
  </si>
  <si>
    <t>Subtotal SGA</t>
  </si>
  <si>
    <t>6. Subsistema de Gestión de Seguridad y Salud en el trabajo - SGSST</t>
  </si>
  <si>
    <t>&gt; Plan Seguridad y Salud en el Trabajo sin ejecutar, por ausencia del contratista</t>
  </si>
  <si>
    <t>&gt; Contratación del profesional especializado encargado del SST
&gt; Diagnóstico del Sistema SST</t>
  </si>
  <si>
    <t>&gt;Ejecución del plan de capacitación y las actividades de inducción y reinducción
&gt;Ejecución del Plan de Bienestar, capacitación en primeros auxilios y en la prevención e identificación del acoso laboral
&gt; Identificación y tratamiento del Riesgo Psicosocial</t>
  </si>
  <si>
    <t>Profesional Nomina
Profesional Apoyo Talento Humano</t>
  </si>
  <si>
    <t>&gt; Ejecución del Plan de Seguridad y Salud en el trabajo para la vigencia
&gt; Intervencion a la exposicion a factotes de riesgo psicosocial en el trabajo
&gt;  Realizar los examenes periódicos ocupacionales
&gt; Realizar capacitacion a brigadistas en evacuacion y rescate, contraincendio y primeros auxilios.
&gt; Medir, monitorear y evaluar la exposición a factores de riesgo fiscos (ruido y confort termico) en el trabajo, en el marco de la implementación del Sistema de Seguridad y Salud en el trabajo.Madiciones Higienicas (Ruido, confort termico)</t>
  </si>
  <si>
    <t>&gt; Ejecución del Plan de Seguridad y Salud en el trabajo para la vigencia
Realizar los examenes periódicos ocupacionales
&gt; Realizar capacitacion a brigadistas en evacuacion y rescate, contraincendio y primeros auxilios.</t>
  </si>
  <si>
    <t>Profesional SGSST</t>
  </si>
  <si>
    <t>Profesional SST (Angelica)</t>
  </si>
  <si>
    <t>Intervención Riesgo Psicosocial</t>
  </si>
  <si>
    <t>Saldo riesgo psicosocial</t>
  </si>
  <si>
    <t>Contrato proveedor de servicios de Capacitación (medicion jclima, ambient4, ruido)</t>
  </si>
  <si>
    <t>Contrato proveedor de servicios de Capacitación</t>
  </si>
  <si>
    <t>Subtotal SGSST</t>
  </si>
  <si>
    <t>7. Subsistema de Responsabilidad Social -SRS</t>
  </si>
  <si>
    <t>&gt; Plan de responsabilidad social sin ejecutar, por ausencia del contratista</t>
  </si>
  <si>
    <t>&gt; Revisión del Plan y formulación de acciones para ejecutar en 2017.</t>
  </si>
  <si>
    <t>&gt; Socialización del Código de buen Gobierno, el plan de Gestión Ética.
&gt; Elaboración del Mapa de Usuarios y Partes Interesadas
&gt;Elaboración y ejecución del Plan de Paticipación Ciudadana 2017
&gt; Realizaciónde la Rendición de cuentas presencial para las vigencias 2016 – 2017</t>
  </si>
  <si>
    <t>Redición de Cuentas</t>
  </si>
  <si>
    <t>&gt;Elaboración y ejecución del Plan de Paticipación Ciudadana 2018
&gt; Realizaciónde la Rendición de cuentas presencial para la vigencia 2017(segundo semestre)</t>
  </si>
  <si>
    <t>&gt;Elaboración y ejecución del Plan de Paticipación Ciudadana 2019
&gt; Realizaciónde la Rendición de cuentas presencial para la vigencia 2018</t>
  </si>
  <si>
    <t>&gt;Elaboración y ejecución del Plan de Paticipación Ciudadana 2020
&gt; Realizaciónde la Rendición de cuentas presencial para la vigencia 2019 y 2020.</t>
  </si>
  <si>
    <t>Subtotal SRS</t>
  </si>
  <si>
    <t>Totales</t>
  </si>
  <si>
    <t>FICHA EBI</t>
  </si>
  <si>
    <t xml:space="preserve">TECNOLOGÍA </t>
  </si>
  <si>
    <t>Profesional Universitario o Profesional Especializado Control interno</t>
  </si>
  <si>
    <t>Centro de Costos</t>
  </si>
  <si>
    <t>Realizar2 Estudios en Escuela currículo y pedagogía, Educación y políticas públicas y Cualificación docente</t>
  </si>
  <si>
    <t>Proyecto Estrategico 113 Bogotá reconoce a sus maestras, maestros y directivos docentes.</t>
  </si>
  <si>
    <t>Realizar 3 Estudios en Escuela currículo y pedagogía, Educación y políticas públicas y Cualificación docente</t>
  </si>
  <si>
    <t xml:space="preserve">TOTAL </t>
  </si>
  <si>
    <t>Recursos de libre Destinación</t>
  </si>
  <si>
    <t>Transferencias</t>
  </si>
  <si>
    <t>RECURSOS</t>
  </si>
  <si>
    <t>Recursos Administrados</t>
  </si>
  <si>
    <t>Versión:5</t>
  </si>
  <si>
    <t>Fecha de Aprobación:</t>
  </si>
  <si>
    <t>Proyecto  No.</t>
  </si>
  <si>
    <t xml:space="preserve">TOTAL PROYECTO No. </t>
  </si>
  <si>
    <t>Versión: 5</t>
  </si>
  <si>
    <t xml:space="preserve">Pilar / Eje No. </t>
  </si>
  <si>
    <t>Programa No.</t>
  </si>
  <si>
    <t>Proy Estratégico No.</t>
  </si>
  <si>
    <t>Total componente No</t>
  </si>
  <si>
    <t xml:space="preserve">Total componente No. </t>
  </si>
  <si>
    <t>Pilar Eje No.</t>
  </si>
  <si>
    <t xml:space="preserve">Proyecto Estrategico </t>
  </si>
  <si>
    <t xml:space="preserve">PLAN DE ACCIÓN </t>
  </si>
  <si>
    <t>Metas de Resultado Plan de Desarrollo  20xx-20xx</t>
  </si>
  <si>
    <t>Meta Proyecto  20xx a 20xx</t>
  </si>
  <si>
    <t>Meta vigencia xxxx</t>
  </si>
  <si>
    <t>Proyecto No.</t>
  </si>
  <si>
    <t>Comunicación, Socialización y Divulgación: Componente 1</t>
  </si>
  <si>
    <t>Comunicación, socialización y divulgación: Componente 2</t>
  </si>
  <si>
    <t>Fecha de Aprobación: 23/12/2016</t>
  </si>
  <si>
    <t>Página 1 de _</t>
  </si>
  <si>
    <t>Meta vigencia 2019</t>
  </si>
  <si>
    <t>TOTAL PLAN DE ACCIÓN  BOGOTÁ MEJOR PARA TODOS AÑO 2019.</t>
  </si>
  <si>
    <t xml:space="preserve">PLAN DE ACCIÓN 2019 "BOGOTA MEJOR PARA TODOS" </t>
  </si>
  <si>
    <t>Caja de herramientas del pensador crítico</t>
  </si>
  <si>
    <t>Realizar dos (2) Estudios Escuela Curriculo y Pedagogía, Educación y políticas públicas y Cualificación docente componente de cualificación, investigación e innovación docente:Comunidades de saber y de práctica pedagógica.</t>
  </si>
  <si>
    <t>Estudio Sistema de seguimiento a la política educativa distrital en los contextos escolares -Fase 4</t>
  </si>
  <si>
    <t>Programa socioeducativo de educación para la sexualidad</t>
  </si>
  <si>
    <t>Programa de pensamiento crítico para la innovación e investigación educativa- Fase 2</t>
  </si>
  <si>
    <t>Monitoreo de la calidad de la educación inicial, análisis de planes de mejora y transferencia</t>
  </si>
  <si>
    <t>Apropiación de contenidos culturales, académicos y científicos de los docentes del sector público de Bogotá</t>
  </si>
  <si>
    <t>Características individuales e institucionales que promueven la investigación y la innovación educativa en el Distrito Capital</t>
  </si>
  <si>
    <t xml:space="preserve">Subdirectora Académica </t>
  </si>
  <si>
    <t>Sostenibilidad  del Sistema integrado de Gestión SIG-MIPG</t>
  </si>
  <si>
    <t>Sostener 100% la implementación del Sistema Integrado de Gestión SIG-MIPG</t>
  </si>
  <si>
    <t>Sostenibilidad del Sistema Integrado de Gestión SIG-MIPG</t>
  </si>
  <si>
    <t>Porcentaje de ejecución del plan de adecuación y sostenibilidad del SIGD-MIPG en las entidades distritales</t>
  </si>
  <si>
    <t>JULIANA GUTIÉRREZ SOLANO</t>
  </si>
  <si>
    <t>Subdirectora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</si>
</sst>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quot;$&quot;#,##0"/>
    <numFmt numFmtId="6" formatCode="&quot;$&quot;#,##0;[Red]\-&quot;$&quot;#,##0"/>
    <numFmt numFmtId="44" formatCode="_-&quot;$&quot;* #,##0.00_-;\-&quot;$&quot;* #,##0.00_-;_-&quot;$&quot;* &quot;-&quot;??_-;_-@_-"/>
    <numFmt numFmtId="43" formatCode="_-* #,##0.00_-;\-* #,##0.00_-;_-* &quot;-&quot;??_-;_-@_-"/>
    <numFmt numFmtId="164" formatCode="&quot;$&quot;\ #,##0_);[Red]\(&quot;$&quot;\ #,##0\)"/>
    <numFmt numFmtId="165" formatCode="&quot;$&quot;\ #,##0.00_);\(&quot;$&quot;\ #,##0.00\)"/>
    <numFmt numFmtId="166" formatCode="_(&quot;$&quot;\ * #,##0_);_(&quot;$&quot;\ * \(#,##0\);_(&quot;$&quot;\ * &quot;-&quot;_);_(@_)"/>
    <numFmt numFmtId="167" formatCode="_(&quot;$&quot;\ * #,##0.00_);_(&quot;$&quot;\ * \(#,##0.00\);_(&quot;$&quot;\ * &quot;-&quot;??_);_(@_)"/>
    <numFmt numFmtId="168" formatCode="_(* #,##0.00_);_(* \(#,##0.00\);_(* &quot;-&quot;??_);_(@_)"/>
    <numFmt numFmtId="169" formatCode="_(&quot;$ &quot;* #,##0_);_(&quot;$ &quot;* \(#,##0\);_(&quot;$ &quot;* \-_);_(@_)"/>
    <numFmt numFmtId="170" formatCode="_(* #,##0.00_);_(* \(#,##0.00\);_(* \-??_);_(@_)"/>
    <numFmt numFmtId="171" formatCode="_(* #,##0_);_(* \(#,##0\);_(* \-??_);_(@_)"/>
    <numFmt numFmtId="172" formatCode="_(&quot;$&quot;\ * #,##0_);_(&quot;$&quot;\ * \(#,##0\);_(&quot;$&quot;\ * &quot;-&quot;??_);_(@_)"/>
    <numFmt numFmtId="173" formatCode="_(* #,##0_);_(* \(#,##0\);_(* &quot;-&quot;??_);_(@_)"/>
    <numFmt numFmtId="174" formatCode="_(* #,##0.0_);_(* \(#,##0.0\);_(* &quot;-&quot;??_);_(@_)"/>
    <numFmt numFmtId="175" formatCode="_(* #,##0.0_);_(* \(#,##0.0\);_(* &quot;-&quot;?_);_(@_)"/>
    <numFmt numFmtId="176" formatCode="0.0%"/>
    <numFmt numFmtId="177" formatCode="&quot;$&quot;\ #,##0"/>
    <numFmt numFmtId="178" formatCode="d/mm/yyyy;@"/>
    <numFmt numFmtId="179" formatCode="_-&quot;$&quot;* #,##0_-;\-&quot;$&quot;* #,##0_-;_-&quot;$&quot;* &quot;-&quot;??_-;_-@_-"/>
  </numFmts>
  <fonts count="83" x14ac:knownFonts="1">
    <font>
      <sz val="11"/>
      <color indexed="63"/>
      <name val="Calibri"/>
      <family val="2"/>
      <charset val="1"/>
    </font>
    <font>
      <sz val="11"/>
      <color theme="1"/>
      <name val="Calibri"/>
      <family val="2"/>
      <scheme val="minor"/>
    </font>
    <font>
      <sz val="11"/>
      <color theme="1"/>
      <name val="Calibri"/>
      <family val="2"/>
      <scheme val="minor"/>
    </font>
    <font>
      <sz val="11"/>
      <color indexed="63"/>
      <name val="Calibri"/>
      <family val="2"/>
      <charset val="1"/>
    </font>
    <font>
      <b/>
      <sz val="10"/>
      <name val="Arial"/>
      <family val="2"/>
    </font>
    <font>
      <sz val="10"/>
      <name val="Arial"/>
      <family val="2"/>
    </font>
    <font>
      <sz val="10"/>
      <color indexed="63"/>
      <name val="Arial"/>
      <family val="2"/>
    </font>
    <font>
      <sz val="10"/>
      <color indexed="8"/>
      <name val="Arial"/>
      <family val="2"/>
    </font>
    <font>
      <i/>
      <sz val="10"/>
      <color indexed="8"/>
      <name val="Arial"/>
      <family val="2"/>
    </font>
    <font>
      <sz val="10"/>
      <color indexed="8"/>
      <name val="Calibri"/>
      <family val="2"/>
    </font>
    <font>
      <sz val="11"/>
      <color theme="1"/>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sz val="10"/>
      <color rgb="FFFF0000"/>
      <name val="Arial"/>
      <family val="2"/>
    </font>
    <font>
      <b/>
      <sz val="10"/>
      <color theme="3"/>
      <name val="Arial"/>
      <family val="2"/>
    </font>
    <font>
      <sz val="10"/>
      <color rgb="FF222222"/>
      <name val="Arial"/>
      <family val="2"/>
    </font>
    <font>
      <b/>
      <sz val="10"/>
      <color rgb="FF002060"/>
      <name val="Arial"/>
      <family val="2"/>
    </font>
    <font>
      <sz val="10"/>
      <color rgb="FF002060"/>
      <name val="Arial"/>
      <family val="2"/>
    </font>
    <font>
      <sz val="10"/>
      <color rgb="FF000000"/>
      <name val="Arial"/>
      <family val="2"/>
    </font>
    <font>
      <b/>
      <i/>
      <sz val="10"/>
      <color theme="1"/>
      <name val="Arial"/>
      <family val="2"/>
    </font>
    <font>
      <sz val="8"/>
      <color theme="1"/>
      <name val="Arial"/>
      <family val="2"/>
    </font>
    <font>
      <sz val="8"/>
      <name val="Arial"/>
      <family val="2"/>
    </font>
    <font>
      <b/>
      <sz val="8"/>
      <name val="Arial"/>
      <family val="2"/>
    </font>
    <font>
      <b/>
      <sz val="8"/>
      <color theme="1"/>
      <name val="Arial"/>
      <family val="2"/>
    </font>
    <font>
      <sz val="8"/>
      <color indexed="63"/>
      <name val="Calibri"/>
      <family val="2"/>
      <charset val="1"/>
    </font>
    <font>
      <sz val="8"/>
      <color theme="1"/>
      <name val="Arial"/>
      <family val="2"/>
      <charset val="1"/>
    </font>
    <font>
      <b/>
      <sz val="8"/>
      <color theme="1"/>
      <name val="Arial"/>
      <family val="2"/>
      <charset val="1"/>
    </font>
    <font>
      <b/>
      <sz val="6"/>
      <color theme="1"/>
      <name val="Arial"/>
      <family val="2"/>
    </font>
    <font>
      <sz val="7"/>
      <color theme="1"/>
      <name val="Arial"/>
      <family val="2"/>
    </font>
    <font>
      <b/>
      <sz val="9"/>
      <color theme="1"/>
      <name val="Calibri"/>
      <family val="2"/>
    </font>
    <font>
      <sz val="7"/>
      <name val="Arial"/>
      <family val="2"/>
    </font>
    <font>
      <b/>
      <sz val="7"/>
      <color theme="1"/>
      <name val="Arial"/>
      <family val="2"/>
    </font>
    <font>
      <b/>
      <sz val="8"/>
      <color rgb="FF000000"/>
      <name val="Arial"/>
      <family val="2"/>
    </font>
    <font>
      <sz val="8"/>
      <color rgb="FF000000"/>
      <name val="Arial"/>
      <family val="2"/>
    </font>
    <font>
      <sz val="7"/>
      <color indexed="63"/>
      <name val="Arial"/>
      <family val="2"/>
    </font>
    <font>
      <sz val="7"/>
      <color indexed="63"/>
      <name val="Times New Roman"/>
      <family val="1"/>
    </font>
    <font>
      <sz val="7"/>
      <color indexed="63"/>
      <name val="Calibri"/>
      <family val="2"/>
    </font>
    <font>
      <b/>
      <sz val="7"/>
      <name val="Arial"/>
      <family val="2"/>
    </font>
    <font>
      <b/>
      <sz val="7"/>
      <name val="Calibri"/>
      <family val="2"/>
    </font>
    <font>
      <sz val="7"/>
      <color indexed="63"/>
      <name val="Calibri"/>
      <family val="2"/>
      <charset val="1"/>
    </font>
    <font>
      <sz val="11"/>
      <color indexed="8"/>
      <name val="Calibri"/>
      <family val="2"/>
    </font>
    <font>
      <sz val="11"/>
      <color indexed="8"/>
      <name val="Arial"/>
      <family val="2"/>
    </font>
    <font>
      <b/>
      <sz val="8"/>
      <color indexed="63"/>
      <name val="Calibri"/>
      <family val="2"/>
      <charset val="1"/>
    </font>
    <font>
      <sz val="9"/>
      <color rgb="FF000000"/>
      <name val="Arial"/>
      <family val="2"/>
    </font>
    <font>
      <b/>
      <sz val="9"/>
      <name val="Arial"/>
      <family val="2"/>
    </font>
    <font>
      <sz val="9"/>
      <color indexed="63"/>
      <name val="Arial"/>
      <family val="2"/>
    </font>
    <font>
      <b/>
      <sz val="9"/>
      <color rgb="FF000000"/>
      <name val="Arial"/>
      <family val="2"/>
    </font>
    <font>
      <b/>
      <sz val="7"/>
      <color indexed="8"/>
      <name val="Arial"/>
      <family val="2"/>
    </font>
    <font>
      <b/>
      <sz val="7"/>
      <color indexed="63"/>
      <name val="Calibri"/>
      <family val="2"/>
      <charset val="1"/>
    </font>
    <font>
      <sz val="9"/>
      <color indexed="8"/>
      <name val="Arial"/>
      <family val="2"/>
    </font>
    <font>
      <sz val="9"/>
      <name val="Arial"/>
      <family val="2"/>
    </font>
    <font>
      <b/>
      <sz val="9"/>
      <color indexed="8"/>
      <name val="Arial"/>
      <family val="2"/>
    </font>
    <font>
      <u/>
      <sz val="11"/>
      <color theme="10"/>
      <name val="Calibri"/>
      <family val="2"/>
      <charset val="1"/>
    </font>
    <font>
      <b/>
      <sz val="11"/>
      <color indexed="63"/>
      <name val="Calibri"/>
      <family val="2"/>
    </font>
    <font>
      <b/>
      <sz val="9"/>
      <color indexed="63"/>
      <name val="Arial"/>
      <family val="2"/>
    </font>
    <font>
      <sz val="8"/>
      <color indexed="8"/>
      <name val="Arial"/>
      <family val="2"/>
    </font>
    <font>
      <b/>
      <sz val="11"/>
      <name val="Arial"/>
      <family val="2"/>
    </font>
    <font>
      <sz val="11"/>
      <name val="Arial"/>
      <family val="2"/>
    </font>
    <font>
      <b/>
      <sz val="8"/>
      <color indexed="8"/>
      <name val="Arial"/>
      <family val="2"/>
    </font>
    <font>
      <sz val="9"/>
      <color rgb="FFFF0000"/>
      <name val="Arial"/>
      <family val="2"/>
    </font>
    <font>
      <b/>
      <sz val="9"/>
      <color theme="1"/>
      <name val="Arial"/>
      <family val="2"/>
    </font>
    <font>
      <b/>
      <sz val="10"/>
      <color indexed="63"/>
      <name val="Calibri"/>
      <family val="2"/>
    </font>
    <font>
      <sz val="11"/>
      <color rgb="FFFF0000"/>
      <name val="Calibri"/>
      <family val="2"/>
      <scheme val="minor"/>
    </font>
    <font>
      <b/>
      <sz val="11"/>
      <color theme="1"/>
      <name val="Calibri"/>
      <family val="2"/>
      <scheme val="minor"/>
    </font>
    <font>
      <sz val="11"/>
      <color theme="1"/>
      <name val="Arial"/>
      <family val="2"/>
    </font>
    <font>
      <b/>
      <sz val="14"/>
      <name val="Arial"/>
      <family val="2"/>
    </font>
    <font>
      <b/>
      <sz val="12"/>
      <color theme="1"/>
      <name val="Calibri"/>
      <family val="2"/>
      <scheme val="minor"/>
    </font>
    <font>
      <b/>
      <sz val="11"/>
      <color theme="1"/>
      <name val="Arial"/>
      <family val="2"/>
    </font>
    <font>
      <sz val="11"/>
      <color rgb="FFFF0000"/>
      <name val="Arial"/>
      <family val="2"/>
    </font>
    <font>
      <sz val="11"/>
      <name val="Calibri"/>
      <family val="2"/>
      <scheme val="minor"/>
    </font>
    <font>
      <b/>
      <sz val="14"/>
      <color theme="1"/>
      <name val="Calibri"/>
      <family val="2"/>
      <scheme val="minor"/>
    </font>
    <font>
      <b/>
      <sz val="11"/>
      <color rgb="FFFF0000"/>
      <name val="Calibri"/>
      <family val="2"/>
      <scheme val="minor"/>
    </font>
    <font>
      <sz val="11"/>
      <color theme="1"/>
      <name val="Calibri"/>
      <family val="2"/>
      <charset val="1"/>
    </font>
    <font>
      <sz val="9"/>
      <color theme="1"/>
      <name val="Arial"/>
      <family val="2"/>
    </font>
    <font>
      <sz val="9"/>
      <color theme="1"/>
      <name val="Arial"/>
      <family val="2"/>
      <charset val="1"/>
    </font>
    <font>
      <b/>
      <sz val="9"/>
      <color theme="1"/>
      <name val="Arial"/>
      <family val="2"/>
      <charset val="1"/>
    </font>
    <font>
      <sz val="8"/>
      <name val="Calibri"/>
      <family val="2"/>
      <charset val="1"/>
    </font>
    <font>
      <b/>
      <sz val="6"/>
      <name val="Arial"/>
      <family val="2"/>
    </font>
    <font>
      <sz val="9"/>
      <name val="Arial"/>
      <family val="2"/>
      <charset val="1"/>
    </font>
    <font>
      <b/>
      <sz val="9"/>
      <name val="Arial"/>
      <family val="2"/>
      <charset val="1"/>
    </font>
    <font>
      <sz val="11"/>
      <name val="Calibri"/>
      <family val="2"/>
      <charset val="1"/>
    </font>
  </fonts>
  <fills count="51">
    <fill>
      <patternFill patternType="none"/>
    </fill>
    <fill>
      <patternFill patternType="gray125"/>
    </fill>
    <fill>
      <patternFill patternType="solid">
        <fgColor indexed="42"/>
        <bgColor indexed="41"/>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23"/>
      </patternFill>
    </fill>
    <fill>
      <patternFill patternType="solid">
        <fgColor rgb="FF92D050"/>
        <bgColor indexed="34"/>
      </patternFill>
    </fill>
    <fill>
      <patternFill patternType="solid">
        <fgColor theme="0"/>
        <bgColor indexed="26"/>
      </patternFill>
    </fill>
    <fill>
      <patternFill patternType="solid">
        <fgColor rgb="FF00B0F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41"/>
      </patternFill>
    </fill>
    <fill>
      <patternFill patternType="solid">
        <fgColor theme="2"/>
        <bgColor indexed="34"/>
      </patternFill>
    </fill>
    <fill>
      <patternFill patternType="solid">
        <fgColor theme="2"/>
        <bgColor indexed="41"/>
      </patternFill>
    </fill>
    <fill>
      <patternFill patternType="solid">
        <fgColor rgb="FFFFFFFF"/>
        <bgColor rgb="FFFFFFFF"/>
      </patternFill>
    </fill>
    <fill>
      <patternFill patternType="solid">
        <fgColor rgb="FFFFFF00"/>
        <bgColor indexed="23"/>
      </patternFill>
    </fill>
    <fill>
      <patternFill patternType="solid">
        <fgColor rgb="FFFFC000"/>
        <bgColor indexed="23"/>
      </patternFill>
    </fill>
    <fill>
      <patternFill patternType="solid">
        <fgColor rgb="FFFFC000"/>
        <bgColor indexed="41"/>
      </patternFill>
    </fill>
    <fill>
      <patternFill patternType="solid">
        <fgColor rgb="FF92D050"/>
        <bgColor indexed="41"/>
      </patternFill>
    </fill>
    <fill>
      <patternFill patternType="solid">
        <fgColor theme="0"/>
        <bgColor indexed="22"/>
      </patternFill>
    </fill>
    <fill>
      <patternFill patternType="solid">
        <fgColor rgb="FFFFFF00"/>
        <bgColor indexed="13"/>
      </patternFill>
    </fill>
    <fill>
      <patternFill patternType="solid">
        <fgColor rgb="FFFFFF00"/>
        <bgColor indexed="34"/>
      </patternFill>
    </fill>
    <fill>
      <patternFill patternType="solid">
        <fgColor rgb="FFFFC000"/>
        <bgColor indexed="22"/>
      </patternFill>
    </fill>
    <fill>
      <patternFill patternType="solid">
        <fgColor theme="0"/>
        <bgColor indexed="13"/>
      </patternFill>
    </fill>
    <fill>
      <patternFill patternType="solid">
        <fgColor indexed="9"/>
        <bgColor indexed="64"/>
      </patternFill>
    </fill>
    <fill>
      <patternFill patternType="solid">
        <fgColor rgb="FFFFFF00"/>
        <bgColor indexed="22"/>
      </patternFill>
    </fill>
    <fill>
      <patternFill patternType="solid">
        <fgColor rgb="FFFFC000"/>
        <bgColor indexed="40"/>
      </patternFill>
    </fill>
    <fill>
      <patternFill patternType="solid">
        <fgColor rgb="FF92D050"/>
        <bgColor indexed="13"/>
      </patternFill>
    </fill>
    <fill>
      <patternFill patternType="solid">
        <fgColor rgb="FFFFC000"/>
        <bgColor indexed="13"/>
      </patternFill>
    </fill>
    <fill>
      <patternFill patternType="solid">
        <fgColor rgb="FF92D050"/>
        <bgColor rgb="FFFFFFFF"/>
      </patternFill>
    </fill>
    <fill>
      <patternFill patternType="solid">
        <fgColor theme="0"/>
        <bgColor rgb="FFFFFFFF"/>
      </patternFill>
    </fill>
    <fill>
      <patternFill patternType="solid">
        <fgColor rgb="FFFFFF00"/>
        <bgColor rgb="FFFFFF00"/>
      </patternFill>
    </fill>
    <fill>
      <patternFill patternType="solid">
        <fgColor rgb="FFFFC000"/>
        <bgColor rgb="FFFFFFFF"/>
      </patternFill>
    </fill>
    <fill>
      <patternFill patternType="solid">
        <fgColor rgb="FFFFC000"/>
        <bgColor rgb="FFFFFF00"/>
      </patternFill>
    </fill>
    <fill>
      <patternFill patternType="solid">
        <fgColor theme="0"/>
        <bgColor rgb="FFD7E4BD"/>
      </patternFill>
    </fill>
    <fill>
      <patternFill patternType="solid">
        <fgColor rgb="FF00B0F0"/>
        <bgColor rgb="FFD7E4BD"/>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bottom style="thin">
        <color indexed="64"/>
      </bottom>
      <diagonal/>
    </border>
    <border>
      <left style="thin">
        <color indexed="59"/>
      </left>
      <right/>
      <top/>
      <bottom/>
      <diagonal/>
    </border>
    <border>
      <left/>
      <right style="thin">
        <color indexed="8"/>
      </right>
      <top/>
      <bottom style="thin">
        <color indexed="8"/>
      </bottom>
      <diagonal/>
    </border>
    <border>
      <left style="thin">
        <color indexed="64"/>
      </left>
      <right style="thin">
        <color indexed="64"/>
      </right>
      <top/>
      <bottom style="thin">
        <color indexed="8"/>
      </bottom>
      <diagonal/>
    </border>
    <border>
      <left/>
      <right style="thin">
        <color indexed="8"/>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indexed="64"/>
      </right>
      <top style="thin">
        <color rgb="FF000000"/>
      </top>
      <bottom/>
      <diagonal/>
    </border>
  </borders>
  <cellStyleXfs count="1310">
    <xf numFmtId="0" fontId="0" fillId="0" borderId="0"/>
    <xf numFmtId="177" fontId="5" fillId="0" borderId="0" applyFont="0" applyFill="0" applyBorder="0" applyAlignment="0" applyProtection="0"/>
    <xf numFmtId="170" fontId="3" fillId="0" borderId="0"/>
    <xf numFmtId="168"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9" fontId="10" fillId="0" borderId="0" applyFont="0" applyFill="0" applyBorder="0" applyAlignment="0" applyProtection="0"/>
    <xf numFmtId="169" fontId="3" fillId="0" borderId="0"/>
    <xf numFmtId="44" fontId="3"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77" fontId="3"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0" fontId="5" fillId="0" borderId="0"/>
    <xf numFmtId="0" fontId="43" fillId="0" borderId="0"/>
    <xf numFmtId="0" fontId="1" fillId="0" borderId="0"/>
    <xf numFmtId="0" fontId="1" fillId="0" borderId="0"/>
    <xf numFmtId="0" fontId="1" fillId="0" borderId="0"/>
    <xf numFmtId="0" fontId="42" fillId="0" borderId="0"/>
    <xf numFmtId="9" fontId="42" fillId="0" borderId="0" applyFont="0" applyFill="0" applyBorder="0" applyAlignment="0" applyProtection="0"/>
    <xf numFmtId="9" fontId="4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3"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54" fillId="0" borderId="0" applyNumberFormat="0" applyFill="0" applyBorder="0" applyAlignment="0" applyProtection="0"/>
    <xf numFmtId="9" fontId="3" fillId="0" borderId="0" applyFont="0" applyFill="0" applyBorder="0" applyAlignment="0" applyProtection="0"/>
  </cellStyleXfs>
  <cellXfs count="1431">
    <xf numFmtId="0" fontId="0" fillId="0" borderId="0" xfId="0"/>
    <xf numFmtId="0" fontId="11" fillId="0" borderId="0" xfId="6" applyFont="1" applyFill="1" applyAlignment="1">
      <alignment horizontal="left" vertical="center"/>
    </xf>
    <xf numFmtId="172" fontId="11" fillId="0" borderId="1" xfId="5" applyNumberFormat="1" applyFont="1" applyFill="1" applyBorder="1" applyAlignment="1">
      <alignment horizontal="left" vertical="center"/>
    </xf>
    <xf numFmtId="9" fontId="11" fillId="0" borderId="1" xfId="7" applyFont="1" applyFill="1" applyBorder="1" applyAlignment="1">
      <alignment vertical="center"/>
    </xf>
    <xf numFmtId="0" fontId="11" fillId="0" borderId="0" xfId="6" applyFont="1" applyFill="1" applyAlignment="1">
      <alignment horizontal="center" vertical="center"/>
    </xf>
    <xf numFmtId="172" fontId="12" fillId="3" borderId="0" xfId="5" applyNumberFormat="1" applyFont="1" applyFill="1" applyBorder="1" applyAlignment="1">
      <alignment horizontal="left" vertical="center"/>
    </xf>
    <xf numFmtId="0" fontId="11" fillId="3" borderId="0" xfId="6" applyFont="1" applyFill="1" applyBorder="1" applyAlignment="1">
      <alignment horizontal="left" vertical="center"/>
    </xf>
    <xf numFmtId="172" fontId="11" fillId="3" borderId="0" xfId="6" applyNumberFormat="1" applyFont="1" applyFill="1" applyBorder="1" applyAlignment="1">
      <alignment horizontal="left" vertical="center"/>
    </xf>
    <xf numFmtId="172" fontId="4" fillId="3" borderId="0" xfId="5" applyNumberFormat="1" applyFont="1" applyFill="1" applyBorder="1" applyAlignment="1">
      <alignment horizontal="left" vertical="center"/>
    </xf>
    <xf numFmtId="172" fontId="12" fillId="3" borderId="0" xfId="6" applyNumberFormat="1" applyFont="1" applyFill="1" applyBorder="1" applyAlignment="1">
      <alignment horizontal="left" vertical="center"/>
    </xf>
    <xf numFmtId="173" fontId="12" fillId="3" borderId="0" xfId="3" applyNumberFormat="1" applyFont="1" applyFill="1" applyBorder="1" applyAlignment="1">
      <alignment horizontal="left" vertical="center"/>
    </xf>
    <xf numFmtId="172" fontId="11" fillId="0" borderId="0" xfId="6" applyNumberFormat="1" applyFont="1" applyFill="1" applyAlignment="1">
      <alignment horizontal="left" vertical="center"/>
    </xf>
    <xf numFmtId="173" fontId="11" fillId="0" borderId="0" xfId="6" applyNumberFormat="1" applyFont="1" applyFill="1" applyAlignment="1">
      <alignment horizontal="left" vertical="center"/>
    </xf>
    <xf numFmtId="173" fontId="11" fillId="0" borderId="0" xfId="3" applyNumberFormat="1" applyFont="1" applyFill="1" applyAlignment="1">
      <alignment horizontal="left" vertical="center"/>
    </xf>
    <xf numFmtId="14" fontId="11" fillId="3" borderId="0" xfId="6" applyNumberFormat="1" applyFont="1" applyFill="1" applyBorder="1" applyAlignment="1">
      <alignment horizontal="left" vertical="center"/>
    </xf>
    <xf numFmtId="173" fontId="11" fillId="3" borderId="0" xfId="3" applyNumberFormat="1" applyFont="1" applyFill="1" applyBorder="1" applyAlignment="1">
      <alignment horizontal="left" vertical="center"/>
    </xf>
    <xf numFmtId="0" fontId="11" fillId="0" borderId="0" xfId="6" applyFont="1" applyFill="1" applyAlignment="1">
      <alignment vertical="center"/>
    </xf>
    <xf numFmtId="173" fontId="12" fillId="0" borderId="0" xfId="3" applyNumberFormat="1" applyFont="1" applyFill="1" applyAlignment="1">
      <alignment horizontal="center" vertical="center"/>
    </xf>
    <xf numFmtId="174" fontId="11" fillId="3" borderId="0" xfId="3" applyNumberFormat="1" applyFont="1" applyFill="1" applyBorder="1" applyAlignment="1">
      <alignment horizontal="left" vertical="center"/>
    </xf>
    <xf numFmtId="3" fontId="11" fillId="3" borderId="0" xfId="6" applyNumberFormat="1" applyFont="1" applyFill="1" applyBorder="1" applyAlignment="1">
      <alignment horizontal="left" vertical="center"/>
    </xf>
    <xf numFmtId="3" fontId="13" fillId="0" borderId="0" xfId="6" applyNumberFormat="1" applyFont="1" applyFill="1" applyBorder="1" applyAlignment="1">
      <alignment horizontal="left" vertical="center"/>
    </xf>
    <xf numFmtId="0" fontId="12" fillId="0" borderId="0" xfId="6" applyFont="1" applyFill="1" applyAlignment="1">
      <alignment horizontal="left" vertical="center"/>
    </xf>
    <xf numFmtId="172" fontId="12" fillId="0" borderId="0" xfId="6" applyNumberFormat="1" applyFont="1" applyFill="1" applyAlignment="1">
      <alignment horizontal="left" vertical="center"/>
    </xf>
    <xf numFmtId="172" fontId="12" fillId="0" borderId="0" xfId="6" applyNumberFormat="1" applyFont="1" applyFill="1" applyAlignment="1">
      <alignment vertical="center"/>
    </xf>
    <xf numFmtId="0" fontId="12" fillId="0" borderId="0" xfId="6" applyFont="1" applyFill="1" applyAlignment="1">
      <alignment horizontal="center" vertical="center"/>
    </xf>
    <xf numFmtId="0" fontId="12" fillId="0" borderId="0" xfId="6" applyFont="1" applyFill="1" applyAlignment="1">
      <alignment vertical="center"/>
    </xf>
    <xf numFmtId="175" fontId="11" fillId="0" borderId="0" xfId="6" applyNumberFormat="1" applyFont="1" applyFill="1" applyAlignment="1">
      <alignment horizontal="left" vertical="center"/>
    </xf>
    <xf numFmtId="172" fontId="12" fillId="0" borderId="0" xfId="6" applyNumberFormat="1" applyFont="1" applyFill="1" applyBorder="1" applyAlignment="1">
      <alignment horizontal="right" vertical="center"/>
    </xf>
    <xf numFmtId="0" fontId="12" fillId="0" borderId="0" xfId="6" applyFont="1" applyFill="1" applyAlignment="1">
      <alignment horizontal="right" vertical="center"/>
    </xf>
    <xf numFmtId="172" fontId="12" fillId="0" borderId="0" xfId="6" applyNumberFormat="1" applyFont="1" applyFill="1" applyAlignment="1">
      <alignment horizontal="right" vertical="center"/>
    </xf>
    <xf numFmtId="172" fontId="11" fillId="0" borderId="0" xfId="6" applyNumberFormat="1" applyFont="1" applyFill="1" applyBorder="1" applyAlignment="1">
      <alignment horizontal="right" vertical="center"/>
    </xf>
    <xf numFmtId="0" fontId="11" fillId="0" borderId="2" xfId="6" applyFont="1" applyFill="1" applyBorder="1" applyAlignment="1">
      <alignment horizontal="right" vertical="center"/>
    </xf>
    <xf numFmtId="172" fontId="11" fillId="0" borderId="2" xfId="6" applyNumberFormat="1" applyFont="1" applyFill="1" applyBorder="1" applyAlignment="1">
      <alignment horizontal="right" vertical="center"/>
    </xf>
    <xf numFmtId="0" fontId="11" fillId="0" borderId="0" xfId="6" applyFont="1" applyFill="1" applyBorder="1" applyAlignment="1">
      <alignment horizontal="right" vertical="center"/>
    </xf>
    <xf numFmtId="0" fontId="11" fillId="0" borderId="0" xfId="6" applyFont="1" applyFill="1" applyBorder="1" applyAlignment="1">
      <alignment horizontal="center" vertical="center"/>
    </xf>
    <xf numFmtId="0" fontId="11" fillId="0" borderId="0" xfId="6" applyFont="1" applyFill="1" applyBorder="1" applyAlignment="1">
      <alignment horizontal="left" vertical="center"/>
    </xf>
    <xf numFmtId="0" fontId="11" fillId="0" borderId="3" xfId="6" applyFont="1" applyFill="1" applyBorder="1" applyAlignment="1">
      <alignment horizontal="left" vertical="center"/>
    </xf>
    <xf numFmtId="9" fontId="11" fillId="0" borderId="3" xfId="6" applyNumberFormat="1" applyFont="1" applyFill="1" applyBorder="1" applyAlignment="1">
      <alignment horizontal="left" vertical="center"/>
    </xf>
    <xf numFmtId="9" fontId="11" fillId="0" borderId="3" xfId="7" applyFont="1" applyFill="1" applyBorder="1" applyAlignment="1">
      <alignment horizontal="left" vertical="center"/>
    </xf>
    <xf numFmtId="172" fontId="12" fillId="4" borderId="1" xfId="5" applyNumberFormat="1" applyFont="1" applyFill="1" applyBorder="1" applyAlignment="1">
      <alignment horizontal="right" vertical="center"/>
    </xf>
    <xf numFmtId="172" fontId="12" fillId="4" borderId="0" xfId="5" applyNumberFormat="1" applyFont="1" applyFill="1" applyBorder="1" applyAlignment="1">
      <alignment horizontal="right" vertical="center"/>
    </xf>
    <xf numFmtId="172" fontId="12" fillId="4" borderId="2" xfId="5" applyNumberFormat="1" applyFont="1" applyFill="1" applyBorder="1" applyAlignment="1">
      <alignment horizontal="right" vertical="center"/>
    </xf>
    <xf numFmtId="172" fontId="12" fillId="0" borderId="4" xfId="6" applyNumberFormat="1" applyFont="1" applyFill="1" applyBorder="1" applyAlignment="1">
      <alignment horizontal="left" vertical="center"/>
    </xf>
    <xf numFmtId="172" fontId="12" fillId="0" borderId="1" xfId="6" applyNumberFormat="1" applyFont="1" applyFill="1" applyBorder="1" applyAlignment="1">
      <alignment horizontal="left" vertical="center"/>
    </xf>
    <xf numFmtId="176" fontId="12" fillId="5" borderId="1" xfId="7" applyNumberFormat="1" applyFont="1" applyFill="1" applyBorder="1" applyAlignment="1">
      <alignment horizontal="center" vertical="center"/>
    </xf>
    <xf numFmtId="172" fontId="12" fillId="4" borderId="1" xfId="5" applyNumberFormat="1" applyFont="1" applyFill="1" applyBorder="1" applyAlignment="1">
      <alignment horizontal="left" vertical="center"/>
    </xf>
    <xf numFmtId="172" fontId="12" fillId="4" borderId="4" xfId="5" applyNumberFormat="1" applyFont="1" applyFill="1" applyBorder="1" applyAlignment="1">
      <alignment horizontal="left" vertical="center"/>
    </xf>
    <xf numFmtId="172" fontId="12" fillId="4" borderId="5" xfId="5" applyNumberFormat="1" applyFont="1" applyFill="1" applyBorder="1" applyAlignment="1">
      <alignment horizontal="left" vertical="center"/>
    </xf>
    <xf numFmtId="0" fontId="12" fillId="4" borderId="5" xfId="6" applyFont="1" applyFill="1" applyBorder="1" applyAlignment="1">
      <alignment horizontal="center" vertical="center" wrapText="1"/>
    </xf>
    <xf numFmtId="0" fontId="11" fillId="0" borderId="4" xfId="6" applyFont="1" applyFill="1" applyBorder="1" applyAlignment="1">
      <alignment horizontal="left" vertical="center"/>
    </xf>
    <xf numFmtId="0" fontId="11" fillId="0" borderId="1" xfId="6" applyFont="1" applyFill="1" applyBorder="1" applyAlignment="1">
      <alignment horizontal="left" vertical="center"/>
    </xf>
    <xf numFmtId="173" fontId="11" fillId="0" borderId="1" xfId="6" applyNumberFormat="1" applyFont="1" applyFill="1" applyBorder="1" applyAlignment="1">
      <alignment horizontal="left" vertical="center"/>
    </xf>
    <xf numFmtId="9" fontId="12" fillId="6" borderId="1" xfId="7" applyFont="1" applyFill="1" applyBorder="1" applyAlignment="1">
      <alignment horizontal="center" vertical="center"/>
    </xf>
    <xf numFmtId="0" fontId="11" fillId="7" borderId="1" xfId="6" applyFont="1" applyFill="1" applyBorder="1" applyAlignment="1">
      <alignment horizontal="left" vertical="center"/>
    </xf>
    <xf numFmtId="172" fontId="4" fillId="7" borderId="6" xfId="5" applyNumberFormat="1" applyFont="1" applyFill="1" applyBorder="1" applyAlignment="1">
      <alignment horizontal="left" vertical="center"/>
    </xf>
    <xf numFmtId="172" fontId="4" fillId="7" borderId="3" xfId="5" applyNumberFormat="1" applyFont="1" applyFill="1" applyBorder="1" applyAlignment="1">
      <alignment horizontal="right" vertical="center"/>
    </xf>
    <xf numFmtId="0" fontId="12" fillId="7" borderId="6" xfId="6" applyFont="1" applyFill="1" applyBorder="1" applyAlignment="1">
      <alignment horizontal="center" vertical="center" wrapText="1"/>
    </xf>
    <xf numFmtId="173" fontId="11" fillId="8" borderId="4" xfId="6" applyNumberFormat="1" applyFont="1" applyFill="1" applyBorder="1" applyAlignment="1">
      <alignment horizontal="left" vertical="center"/>
    </xf>
    <xf numFmtId="173" fontId="11" fillId="8" borderId="1" xfId="6" applyNumberFormat="1" applyFont="1" applyFill="1" applyBorder="1" applyAlignment="1">
      <alignment horizontal="left" vertical="center"/>
    </xf>
    <xf numFmtId="9" fontId="12" fillId="8" borderId="1" xfId="7" applyFont="1" applyFill="1" applyBorder="1" applyAlignment="1">
      <alignment horizontal="center" vertical="center"/>
    </xf>
    <xf numFmtId="0" fontId="11" fillId="8" borderId="1" xfId="6" applyFont="1" applyFill="1" applyBorder="1" applyAlignment="1">
      <alignment horizontal="left" vertical="center"/>
    </xf>
    <xf numFmtId="173" fontId="12" fillId="8" borderId="1" xfId="3" applyNumberFormat="1" applyFont="1" applyFill="1" applyBorder="1" applyAlignment="1">
      <alignment horizontal="left" vertical="center"/>
    </xf>
    <xf numFmtId="173" fontId="12" fillId="8" borderId="5" xfId="3" applyNumberFormat="1" applyFont="1" applyFill="1" applyBorder="1" applyAlignment="1">
      <alignment horizontal="left" vertical="center"/>
    </xf>
    <xf numFmtId="172" fontId="4" fillId="8" borderId="1" xfId="5" applyNumberFormat="1" applyFont="1" applyFill="1" applyBorder="1" applyAlignment="1">
      <alignment horizontal="right" vertical="center"/>
    </xf>
    <xf numFmtId="172" fontId="4" fillId="8" borderId="7" xfId="5" applyNumberFormat="1" applyFont="1" applyFill="1" applyBorder="1" applyAlignment="1">
      <alignment horizontal="right" vertical="center"/>
    </xf>
    <xf numFmtId="172" fontId="4" fillId="8" borderId="3" xfId="5" applyNumberFormat="1" applyFont="1" applyFill="1" applyBorder="1" applyAlignment="1">
      <alignment horizontal="right" vertical="center"/>
    </xf>
    <xf numFmtId="0" fontId="12" fillId="8" borderId="6" xfId="6" applyFont="1" applyFill="1" applyBorder="1" applyAlignment="1">
      <alignment horizontal="center" vertical="center" wrapText="1"/>
    </xf>
    <xf numFmtId="173" fontId="11" fillId="9" borderId="4" xfId="3" applyNumberFormat="1" applyFont="1" applyFill="1" applyBorder="1" applyAlignment="1">
      <alignment horizontal="left" vertical="center"/>
    </xf>
    <xf numFmtId="173" fontId="11" fillId="9" borderId="1" xfId="3" applyNumberFormat="1" applyFont="1" applyFill="1" applyBorder="1" applyAlignment="1">
      <alignment horizontal="left" vertical="center"/>
    </xf>
    <xf numFmtId="0" fontId="11" fillId="9" borderId="1" xfId="6" applyFont="1" applyFill="1" applyBorder="1" applyAlignment="1">
      <alignment horizontal="left" vertical="center"/>
    </xf>
    <xf numFmtId="9" fontId="12" fillId="10" borderId="1" xfId="7" applyFont="1" applyFill="1" applyBorder="1" applyAlignment="1">
      <alignment horizontal="center" vertical="center"/>
    </xf>
    <xf numFmtId="0" fontId="11" fillId="10" borderId="1" xfId="6" applyFont="1" applyFill="1" applyBorder="1" applyAlignment="1">
      <alignment horizontal="left" vertical="center"/>
    </xf>
    <xf numFmtId="173" fontId="12" fillId="10" borderId="1" xfId="3" applyNumberFormat="1" applyFont="1" applyFill="1" applyBorder="1" applyAlignment="1">
      <alignment horizontal="left" vertical="center"/>
    </xf>
    <xf numFmtId="173" fontId="12" fillId="1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xf>
    <xf numFmtId="172" fontId="4" fillId="10" borderId="4" xfId="5" applyNumberFormat="1" applyFont="1" applyFill="1" applyBorder="1" applyAlignment="1">
      <alignment horizontal="right" vertical="center"/>
    </xf>
    <xf numFmtId="173" fontId="11" fillId="11" borderId="4" xfId="3" applyNumberFormat="1" applyFont="1" applyFill="1" applyBorder="1" applyAlignment="1">
      <alignment horizontal="left" vertical="center"/>
    </xf>
    <xf numFmtId="173" fontId="11" fillId="11" borderId="1" xfId="3" applyNumberFormat="1" applyFont="1" applyFill="1" applyBorder="1" applyAlignment="1">
      <alignment horizontal="left" vertical="center"/>
    </xf>
    <xf numFmtId="0" fontId="11" fillId="11" borderId="1" xfId="6" applyFont="1" applyFill="1" applyBorder="1" applyAlignment="1">
      <alignment horizontal="left" vertical="center"/>
    </xf>
    <xf numFmtId="9" fontId="12" fillId="11" borderId="1" xfId="7" applyFont="1" applyFill="1" applyBorder="1" applyAlignment="1">
      <alignment horizontal="center" vertical="center"/>
    </xf>
    <xf numFmtId="173" fontId="12" fillId="11" borderId="1" xfId="3" applyNumberFormat="1" applyFont="1" applyFill="1" applyBorder="1" applyAlignment="1">
      <alignment horizontal="left" vertical="center"/>
    </xf>
    <xf numFmtId="173" fontId="12" fillId="11" borderId="5" xfId="3" applyNumberFormat="1" applyFont="1" applyFill="1" applyBorder="1" applyAlignment="1">
      <alignment horizontal="left" vertical="center"/>
    </xf>
    <xf numFmtId="172" fontId="12" fillId="11" borderId="1" xfId="6" applyNumberFormat="1" applyFont="1" applyFill="1" applyBorder="1" applyAlignment="1">
      <alignment horizontal="right" vertical="center" wrapText="1"/>
    </xf>
    <xf numFmtId="172" fontId="12" fillId="11" borderId="0" xfId="6" applyNumberFormat="1" applyFont="1" applyFill="1" applyBorder="1" applyAlignment="1">
      <alignment horizontal="right" vertical="center" wrapText="1"/>
    </xf>
    <xf numFmtId="0" fontId="12" fillId="11" borderId="0" xfId="6" applyFont="1" applyFill="1" applyBorder="1" applyAlignment="1">
      <alignment horizontal="center" vertical="center" wrapText="1"/>
    </xf>
    <xf numFmtId="9" fontId="12" fillId="3" borderId="1" xfId="7" applyFont="1" applyFill="1" applyBorder="1" applyAlignment="1">
      <alignment horizontal="center" vertical="center"/>
    </xf>
    <xf numFmtId="0" fontId="11" fillId="0" borderId="1" xfId="6" applyFont="1" applyFill="1" applyBorder="1" applyAlignment="1">
      <alignment horizontal="left" vertical="center" wrapText="1"/>
    </xf>
    <xf numFmtId="14" fontId="11" fillId="0" borderId="1" xfId="6" applyNumberFormat="1" applyFont="1" applyFill="1" applyBorder="1" applyAlignment="1">
      <alignment horizontal="left" vertical="center"/>
    </xf>
    <xf numFmtId="177" fontId="11" fillId="0" borderId="1" xfId="6" applyNumberFormat="1" applyFont="1" applyFill="1" applyBorder="1" applyAlignment="1">
      <alignment horizontal="left" vertical="center"/>
    </xf>
    <xf numFmtId="174" fontId="11" fillId="0" borderId="1" xfId="3" applyNumberFormat="1" applyFont="1" applyFill="1" applyBorder="1" applyAlignment="1">
      <alignment horizontal="left" vertical="center"/>
    </xf>
    <xf numFmtId="174" fontId="11" fillId="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wrapText="1"/>
    </xf>
    <xf numFmtId="172" fontId="4" fillId="3" borderId="1" xfId="5" applyNumberFormat="1" applyFont="1" applyFill="1" applyBorder="1" applyAlignment="1">
      <alignment horizontal="right" vertical="center" wrapText="1"/>
    </xf>
    <xf numFmtId="172" fontId="5" fillId="3" borderId="1" xfId="5" applyNumberFormat="1" applyFont="1" applyFill="1" applyBorder="1" applyAlignment="1">
      <alignment horizontal="right" vertical="center" wrapText="1"/>
    </xf>
    <xf numFmtId="0" fontId="11" fillId="3" borderId="1" xfId="6" applyFont="1" applyFill="1" applyBorder="1" applyAlignment="1">
      <alignment horizontal="center" vertical="center" wrapText="1"/>
    </xf>
    <xf numFmtId="0" fontId="11" fillId="0" borderId="1" xfId="6" applyFont="1" applyFill="1" applyBorder="1" applyAlignment="1">
      <alignment horizontal="justify" vertical="center" wrapText="1"/>
    </xf>
    <xf numFmtId="0" fontId="11" fillId="0" borderId="1" xfId="6" applyFont="1" applyFill="1" applyBorder="1" applyAlignment="1">
      <alignment horizontal="center" vertical="center" wrapText="1"/>
    </xf>
    <xf numFmtId="0" fontId="5" fillId="3" borderId="7" xfId="6" applyFont="1" applyFill="1" applyBorder="1" applyAlignment="1">
      <alignment horizontal="center" vertical="center" wrapText="1"/>
    </xf>
    <xf numFmtId="173" fontId="11" fillId="10" borderId="4" xfId="6" applyNumberFormat="1" applyFont="1" applyFill="1" applyBorder="1" applyAlignment="1">
      <alignment horizontal="left" vertical="center"/>
    </xf>
    <xf numFmtId="173" fontId="11" fillId="10" borderId="1" xfId="6" applyNumberFormat="1" applyFont="1" applyFill="1" applyBorder="1" applyAlignment="1">
      <alignment horizontal="left" vertical="center"/>
    </xf>
    <xf numFmtId="0" fontId="12" fillId="11" borderId="1" xfId="6" applyFont="1" applyFill="1" applyBorder="1" applyAlignment="1">
      <alignment horizontal="center" vertical="center" wrapText="1"/>
    </xf>
    <xf numFmtId="0" fontId="12" fillId="11" borderId="8" xfId="6" applyFont="1" applyFill="1" applyBorder="1" applyAlignment="1">
      <alignment horizontal="center" vertical="center" wrapText="1"/>
    </xf>
    <xf numFmtId="9" fontId="11" fillId="0" borderId="1" xfId="7" applyFont="1" applyFill="1" applyBorder="1" applyAlignment="1">
      <alignment horizontal="left" vertical="center"/>
    </xf>
    <xf numFmtId="0" fontId="11" fillId="3" borderId="1" xfId="6" applyFont="1" applyFill="1" applyBorder="1" applyAlignment="1">
      <alignment horizontal="left" vertical="center" wrapText="1"/>
    </xf>
    <xf numFmtId="0" fontId="11" fillId="3" borderId="1" xfId="6" applyFont="1" applyFill="1" applyBorder="1" applyAlignment="1">
      <alignment horizontal="left" vertical="center"/>
    </xf>
    <xf numFmtId="14" fontId="11" fillId="3" borderId="1" xfId="6" applyNumberFormat="1" applyFont="1" applyFill="1" applyBorder="1" applyAlignment="1">
      <alignment horizontal="left" vertical="center"/>
    </xf>
    <xf numFmtId="172" fontId="11" fillId="0" borderId="1" xfId="6" applyNumberFormat="1" applyFont="1" applyFill="1" applyBorder="1" applyAlignment="1">
      <alignment horizontal="left" vertical="center"/>
    </xf>
    <xf numFmtId="173" fontId="11" fillId="0" borderId="5" xfId="6" applyNumberFormat="1" applyFont="1" applyFill="1" applyBorder="1" applyAlignment="1">
      <alignment horizontal="left" vertical="center"/>
    </xf>
    <xf numFmtId="172" fontId="14" fillId="10" borderId="1" xfId="5" applyNumberFormat="1" applyFont="1" applyFill="1" applyBorder="1" applyAlignment="1">
      <alignment horizontal="right" vertical="center" wrapText="1"/>
    </xf>
    <xf numFmtId="0" fontId="11" fillId="3" borderId="8" xfId="6" applyFont="1" applyFill="1" applyBorder="1" applyAlignment="1">
      <alignment horizontal="center" vertical="center" wrapText="1"/>
    </xf>
    <xf numFmtId="0" fontId="11" fillId="0" borderId="8" xfId="6" applyFont="1" applyFill="1" applyBorder="1" applyAlignment="1">
      <alignment horizontal="justify" vertical="center" wrapText="1"/>
    </xf>
    <xf numFmtId="0" fontId="11" fillId="0" borderId="8" xfId="6" applyFont="1" applyFill="1" applyBorder="1" applyAlignment="1">
      <alignment horizontal="center" vertical="center" wrapText="1"/>
    </xf>
    <xf numFmtId="172" fontId="5" fillId="9" borderId="1" xfId="5" applyNumberFormat="1" applyFont="1" applyFill="1" applyBorder="1" applyAlignment="1">
      <alignment horizontal="left" vertical="center"/>
    </xf>
    <xf numFmtId="172" fontId="14" fillId="3" borderId="4" xfId="5" applyNumberFormat="1" applyFont="1" applyFill="1" applyBorder="1" applyAlignment="1">
      <alignment horizontal="right" vertical="center" wrapText="1"/>
    </xf>
    <xf numFmtId="172" fontId="14" fillId="3" borderId="1" xfId="5" applyNumberFormat="1" applyFont="1" applyFill="1" applyBorder="1" applyAlignment="1">
      <alignment horizontal="right" vertical="center" wrapText="1"/>
    </xf>
    <xf numFmtId="172" fontId="15" fillId="3" borderId="1" xfId="5" applyNumberFormat="1" applyFont="1" applyFill="1" applyBorder="1" applyAlignment="1">
      <alignment horizontal="right" vertical="center" wrapText="1"/>
    </xf>
    <xf numFmtId="0" fontId="15" fillId="0" borderId="1" xfId="6" applyFont="1" applyFill="1" applyBorder="1" applyAlignment="1">
      <alignment horizontal="center" vertical="center" wrapText="1"/>
    </xf>
    <xf numFmtId="0" fontId="15" fillId="3" borderId="8" xfId="6" applyFont="1" applyFill="1" applyBorder="1" applyAlignment="1">
      <alignment horizontal="center" vertical="center" wrapText="1"/>
    </xf>
    <xf numFmtId="0" fontId="16" fillId="12" borderId="1" xfId="6" applyFont="1" applyFill="1" applyBorder="1" applyAlignment="1">
      <alignment horizontal="justify" vertical="center" wrapText="1"/>
    </xf>
    <xf numFmtId="0" fontId="15" fillId="12" borderId="8" xfId="6" applyFont="1" applyFill="1" applyBorder="1" applyAlignment="1">
      <alignment horizontal="justify" vertical="center" wrapText="1"/>
    </xf>
    <xf numFmtId="0" fontId="15" fillId="3" borderId="1" xfId="6" applyFont="1" applyFill="1" applyBorder="1" applyAlignment="1">
      <alignment horizontal="center" vertical="center" wrapText="1"/>
    </xf>
    <xf numFmtId="0" fontId="15" fillId="0" borderId="5" xfId="6" applyFont="1" applyFill="1" applyBorder="1" applyAlignment="1">
      <alignment horizontal="justify" vertical="center" wrapText="1"/>
    </xf>
    <xf numFmtId="0" fontId="11" fillId="0" borderId="5" xfId="6" applyFont="1" applyFill="1" applyBorder="1" applyAlignment="1">
      <alignment horizontal="center" vertical="center" wrapText="1"/>
    </xf>
    <xf numFmtId="172" fontId="4" fillId="8" borderId="1" xfId="5" applyNumberFormat="1" applyFont="1" applyFill="1" applyBorder="1" applyAlignment="1">
      <alignment horizontal="right" vertical="center" wrapText="1"/>
    </xf>
    <xf numFmtId="172" fontId="4" fillId="8" borderId="4" xfId="5" applyNumberFormat="1" applyFont="1" applyFill="1" applyBorder="1" applyAlignment="1">
      <alignment horizontal="right" vertical="center" wrapText="1"/>
    </xf>
    <xf numFmtId="0" fontId="4" fillId="8" borderId="5" xfId="6" applyFont="1" applyFill="1" applyBorder="1" applyAlignment="1">
      <alignment horizontal="center" vertical="center" wrapText="1"/>
    </xf>
    <xf numFmtId="172" fontId="4" fillId="10" borderId="4" xfId="5" applyNumberFormat="1" applyFont="1" applyFill="1" applyBorder="1" applyAlignment="1">
      <alignment horizontal="right" vertical="center" wrapText="1"/>
    </xf>
    <xf numFmtId="172" fontId="4" fillId="11" borderId="1" xfId="5" applyNumberFormat="1" applyFont="1" applyFill="1" applyBorder="1" applyAlignment="1">
      <alignment horizontal="right" vertical="center" wrapText="1"/>
    </xf>
    <xf numFmtId="172" fontId="4" fillId="11" borderId="4" xfId="5" applyNumberFormat="1" applyFont="1" applyFill="1" applyBorder="1" applyAlignment="1">
      <alignment horizontal="right" vertical="center" wrapText="1"/>
    </xf>
    <xf numFmtId="172" fontId="5" fillId="11" borderId="1"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wrapText="1"/>
    </xf>
    <xf numFmtId="0" fontId="12" fillId="11" borderId="0" xfId="6" applyFont="1" applyFill="1" applyBorder="1" applyAlignment="1">
      <alignment horizontal="right" vertical="center" wrapText="1"/>
    </xf>
    <xf numFmtId="0" fontId="11" fillId="0" borderId="5" xfId="6" applyFont="1" applyFill="1" applyBorder="1" applyAlignment="1">
      <alignment horizontal="left" vertical="center"/>
    </xf>
    <xf numFmtId="172" fontId="5" fillId="3" borderId="0" xfId="5" applyNumberFormat="1" applyFont="1" applyFill="1" applyBorder="1" applyAlignment="1">
      <alignment horizontal="right" vertical="center" wrapText="1"/>
    </xf>
    <xf numFmtId="172" fontId="4" fillId="3" borderId="0" xfId="5" applyNumberFormat="1" applyFont="1" applyFill="1" applyBorder="1" applyAlignment="1">
      <alignment horizontal="right" vertical="center" wrapText="1"/>
    </xf>
    <xf numFmtId="173" fontId="11" fillId="0" borderId="1" xfId="3" applyNumberFormat="1" applyFont="1" applyFill="1" applyBorder="1" applyAlignment="1">
      <alignment horizontal="left" vertical="center"/>
    </xf>
    <xf numFmtId="173" fontId="11" fillId="0" borderId="5" xfId="3" applyNumberFormat="1" applyFont="1" applyFill="1" applyBorder="1" applyAlignment="1">
      <alignment horizontal="left" vertical="center"/>
    </xf>
    <xf numFmtId="0" fontId="11" fillId="3" borderId="0" xfId="6" applyFont="1" applyFill="1" applyAlignment="1">
      <alignment horizontal="left" vertical="center"/>
    </xf>
    <xf numFmtId="172" fontId="11" fillId="3" borderId="1" xfId="5" applyNumberFormat="1" applyFont="1" applyFill="1" applyBorder="1" applyAlignment="1">
      <alignment horizontal="left" vertical="center"/>
    </xf>
    <xf numFmtId="173" fontId="12" fillId="10" borderId="4" xfId="7" applyNumberFormat="1" applyFont="1" applyFill="1" applyBorder="1" applyAlignment="1">
      <alignment horizontal="center" vertical="center"/>
    </xf>
    <xf numFmtId="173" fontId="12" fillId="10" borderId="1" xfId="7" applyNumberFormat="1" applyFont="1" applyFill="1" applyBorder="1" applyAlignment="1">
      <alignment horizontal="center" vertical="center"/>
    </xf>
    <xf numFmtId="173" fontId="12" fillId="11" borderId="4" xfId="3" applyNumberFormat="1" applyFont="1" applyFill="1" applyBorder="1" applyAlignment="1">
      <alignment horizontal="center" vertical="center"/>
    </xf>
    <xf numFmtId="173" fontId="12" fillId="11" borderId="1" xfId="3" applyNumberFormat="1" applyFont="1" applyFill="1" applyBorder="1" applyAlignment="1">
      <alignment horizontal="center" vertical="center"/>
    </xf>
    <xf numFmtId="164" fontId="12" fillId="11" borderId="1" xfId="6" applyNumberFormat="1" applyFont="1" applyFill="1" applyBorder="1" applyAlignment="1">
      <alignment horizontal="right" vertical="center" wrapText="1"/>
    </xf>
    <xf numFmtId="164" fontId="12" fillId="11" borderId="4" xfId="6" applyNumberFormat="1" applyFont="1" applyFill="1" applyBorder="1" applyAlignment="1">
      <alignment horizontal="right" vertical="center" wrapText="1"/>
    </xf>
    <xf numFmtId="0" fontId="11" fillId="3" borderId="4" xfId="6" applyFont="1" applyFill="1" applyBorder="1" applyAlignment="1">
      <alignment horizontal="left" vertical="center"/>
    </xf>
    <xf numFmtId="9" fontId="11" fillId="3" borderId="1" xfId="7" applyFont="1" applyFill="1" applyBorder="1" applyAlignment="1">
      <alignment horizontal="left" vertical="center"/>
    </xf>
    <xf numFmtId="173" fontId="11" fillId="3" borderId="1" xfId="3" applyNumberFormat="1" applyFont="1" applyFill="1" applyBorder="1" applyAlignment="1">
      <alignment horizontal="left" vertical="center"/>
    </xf>
    <xf numFmtId="173" fontId="11" fillId="3" borderId="1" xfId="3" applyNumberFormat="1" applyFont="1" applyFill="1" applyBorder="1" applyAlignment="1">
      <alignment horizontal="center" vertical="top"/>
    </xf>
    <xf numFmtId="173" fontId="11" fillId="3" borderId="5" xfId="3" applyNumberFormat="1" applyFont="1" applyFill="1" applyBorder="1" applyAlignment="1">
      <alignment horizontal="left" vertical="center"/>
    </xf>
    <xf numFmtId="173" fontId="17" fillId="3" borderId="1" xfId="3" applyNumberFormat="1" applyFont="1" applyFill="1" applyBorder="1" applyAlignment="1">
      <alignment horizontal="right" vertical="center" wrapText="1"/>
    </xf>
    <xf numFmtId="0" fontId="17"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0" xfId="6" applyFont="1" applyFill="1" applyBorder="1" applyAlignment="1">
      <alignment horizontal="center" vertical="center" wrapText="1"/>
    </xf>
    <xf numFmtId="178" fontId="11" fillId="3" borderId="1" xfId="3" applyNumberFormat="1" applyFont="1" applyFill="1" applyBorder="1" applyAlignment="1">
      <alignment horizontal="left" vertical="center"/>
    </xf>
    <xf numFmtId="173" fontId="5" fillId="3" borderId="1" xfId="3" applyNumberFormat="1" applyFont="1" applyFill="1" applyBorder="1" applyAlignment="1">
      <alignment horizontal="right" vertical="center" wrapText="1"/>
    </xf>
    <xf numFmtId="0" fontId="5" fillId="3" borderId="10" xfId="6" applyFont="1" applyFill="1" applyBorder="1" applyAlignment="1">
      <alignment horizontal="center" vertical="center" wrapText="1"/>
    </xf>
    <xf numFmtId="0" fontId="5" fillId="0" borderId="10" xfId="6" applyFont="1" applyFill="1" applyBorder="1" applyAlignment="1">
      <alignment horizontal="justify" vertical="center" wrapText="1"/>
    </xf>
    <xf numFmtId="172" fontId="18" fillId="10" borderId="1" xfId="5" applyNumberFormat="1" applyFont="1" applyFill="1" applyBorder="1" applyAlignment="1">
      <alignment horizontal="right" vertical="center" wrapText="1"/>
    </xf>
    <xf numFmtId="172" fontId="18" fillId="3" borderId="4" xfId="5" applyNumberFormat="1" applyFont="1" applyFill="1" applyBorder="1" applyAlignment="1">
      <alignment horizontal="right" vertical="center" wrapText="1"/>
    </xf>
    <xf numFmtId="172" fontId="18" fillId="3" borderId="1" xfId="5" applyNumberFormat="1" applyFont="1" applyFill="1" applyBorder="1" applyAlignment="1">
      <alignment horizontal="right" vertical="center" wrapText="1"/>
    </xf>
    <xf numFmtId="173" fontId="18" fillId="3" borderId="1" xfId="3" applyNumberFormat="1" applyFont="1" applyFill="1" applyBorder="1" applyAlignment="1">
      <alignment horizontal="right" vertical="center" wrapText="1"/>
    </xf>
    <xf numFmtId="0" fontId="18" fillId="3" borderId="10" xfId="6" applyFont="1" applyFill="1" applyBorder="1" applyAlignment="1">
      <alignment horizontal="center" vertical="center" wrapText="1"/>
    </xf>
    <xf numFmtId="0" fontId="18" fillId="0" borderId="1" xfId="6" applyFont="1" applyFill="1" applyBorder="1" applyAlignment="1">
      <alignment horizontal="justify" vertical="center" wrapText="1"/>
    </xf>
    <xf numFmtId="173" fontId="15" fillId="3" borderId="1" xfId="3" applyNumberFormat="1" applyFont="1" applyFill="1" applyBorder="1" applyAlignment="1">
      <alignment horizontal="right" vertical="center" wrapText="1"/>
    </xf>
    <xf numFmtId="0" fontId="5" fillId="0" borderId="1" xfId="6" applyFont="1" applyFill="1" applyBorder="1" applyAlignment="1">
      <alignment horizontal="justify" vertical="center" wrapText="1"/>
    </xf>
    <xf numFmtId="14" fontId="11" fillId="3" borderId="1" xfId="3" applyNumberFormat="1" applyFont="1" applyFill="1" applyBorder="1" applyAlignment="1">
      <alignment horizontal="left" vertical="center"/>
    </xf>
    <xf numFmtId="0" fontId="5" fillId="3" borderId="9" xfId="6" applyFont="1" applyFill="1" applyBorder="1" applyAlignment="1">
      <alignment horizontal="center" vertical="center" wrapText="1"/>
    </xf>
    <xf numFmtId="0" fontId="5" fillId="3" borderId="11" xfId="6" applyFont="1" applyFill="1" applyBorder="1" applyAlignment="1">
      <alignment horizontal="center" vertical="center" wrapText="1"/>
    </xf>
    <xf numFmtId="0" fontId="5" fillId="0" borderId="9" xfId="6" applyFont="1" applyFill="1" applyBorder="1" applyAlignment="1">
      <alignment horizontal="justify" vertical="center" wrapText="1"/>
    </xf>
    <xf numFmtId="173" fontId="11" fillId="3" borderId="1" xfId="7" applyNumberFormat="1" applyFont="1" applyFill="1" applyBorder="1" applyAlignment="1">
      <alignment horizontal="left" vertical="center"/>
    </xf>
    <xf numFmtId="173" fontId="11" fillId="3" borderId="1" xfId="3" applyNumberFormat="1" applyFont="1" applyFill="1" applyBorder="1" applyAlignment="1">
      <alignment horizontal="left" vertical="center" wrapText="1"/>
    </xf>
    <xf numFmtId="0" fontId="5" fillId="0" borderId="1"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5" fillId="0" borderId="3" xfId="6" applyFont="1" applyFill="1" applyBorder="1" applyAlignment="1">
      <alignment horizontal="justify" vertical="center" wrapText="1"/>
    </xf>
    <xf numFmtId="168" fontId="11" fillId="3" borderId="1" xfId="3" applyFont="1" applyFill="1" applyBorder="1" applyAlignment="1">
      <alignment horizontal="left" vertical="center"/>
    </xf>
    <xf numFmtId="172" fontId="19" fillId="3" borderId="1" xfId="5" applyNumberFormat="1" applyFont="1" applyFill="1" applyBorder="1" applyAlignment="1">
      <alignment horizontal="right" vertical="center" wrapText="1"/>
    </xf>
    <xf numFmtId="0" fontId="19" fillId="0" borderId="1" xfId="6" applyFont="1" applyFill="1" applyBorder="1" applyAlignment="1">
      <alignment horizontal="center" vertical="center" wrapText="1"/>
    </xf>
    <xf numFmtId="172" fontId="12" fillId="10" borderId="1" xfId="5" applyNumberFormat="1" applyFont="1" applyFill="1" applyBorder="1" applyAlignment="1">
      <alignment horizontal="right" vertical="center" wrapText="1"/>
    </xf>
    <xf numFmtId="172" fontId="12" fillId="3" borderId="4" xfId="5" applyNumberFormat="1" applyFont="1" applyFill="1" applyBorder="1" applyAlignment="1">
      <alignment horizontal="right" vertical="center" wrapText="1"/>
    </xf>
    <xf numFmtId="172" fontId="12" fillId="3" borderId="1" xfId="5" applyNumberFormat="1" applyFont="1" applyFill="1" applyBorder="1" applyAlignment="1">
      <alignment horizontal="right" vertical="center" wrapText="1"/>
    </xf>
    <xf numFmtId="168" fontId="12" fillId="8" borderId="4" xfId="7" applyNumberFormat="1" applyFont="1" applyFill="1" applyBorder="1" applyAlignment="1">
      <alignment horizontal="center" vertical="center"/>
    </xf>
    <xf numFmtId="168" fontId="12" fillId="8" borderId="1" xfId="7" applyNumberFormat="1" applyFont="1" applyFill="1" applyBorder="1" applyAlignment="1">
      <alignment horizontal="center" vertical="center"/>
    </xf>
    <xf numFmtId="173" fontId="11" fillId="8" borderId="1" xfId="3" applyNumberFormat="1" applyFont="1" applyFill="1" applyBorder="1" applyAlignment="1">
      <alignment horizontal="left" vertical="center"/>
    </xf>
    <xf numFmtId="172" fontId="12" fillId="8" borderId="5" xfId="6" applyNumberFormat="1" applyFont="1" applyFill="1" applyBorder="1" applyAlignment="1">
      <alignment horizontal="left" vertical="center"/>
    </xf>
    <xf numFmtId="0" fontId="12" fillId="0" borderId="10" xfId="6" applyFont="1" applyFill="1" applyBorder="1" applyAlignment="1">
      <alignment vertical="center" textRotation="90"/>
    </xf>
    <xf numFmtId="168" fontId="12" fillId="10" borderId="4" xfId="7" applyNumberFormat="1" applyFont="1" applyFill="1" applyBorder="1" applyAlignment="1">
      <alignment horizontal="center" vertical="center"/>
    </xf>
    <xf numFmtId="168" fontId="12" fillId="10" borderId="1" xfId="7" applyNumberFormat="1" applyFont="1" applyFill="1" applyBorder="1" applyAlignment="1">
      <alignment horizontal="center" vertical="center"/>
    </xf>
    <xf numFmtId="172" fontId="12" fillId="10" borderId="5" xfId="6" applyNumberFormat="1" applyFont="1" applyFill="1" applyBorder="1" applyAlignment="1">
      <alignment horizontal="left" vertical="center"/>
    </xf>
    <xf numFmtId="174" fontId="12" fillId="11" borderId="4" xfId="3" applyNumberFormat="1" applyFont="1" applyFill="1" applyBorder="1" applyAlignment="1">
      <alignment horizontal="center" vertical="center"/>
    </xf>
    <xf numFmtId="174" fontId="12" fillId="11" borderId="1" xfId="3" applyNumberFormat="1" applyFont="1" applyFill="1" applyBorder="1" applyAlignment="1">
      <alignment horizontal="center" vertical="center"/>
    </xf>
    <xf numFmtId="177" fontId="12" fillId="11" borderId="10" xfId="6" applyNumberFormat="1" applyFont="1" applyFill="1" applyBorder="1" applyAlignment="1">
      <alignment vertical="center" wrapText="1"/>
    </xf>
    <xf numFmtId="0" fontId="12" fillId="11" borderId="10" xfId="6" applyFont="1" applyFill="1" applyBorder="1" applyAlignment="1">
      <alignment horizontal="center" vertical="center" wrapText="1"/>
    </xf>
    <xf numFmtId="0" fontId="12" fillId="11" borderId="10" xfId="6" applyFont="1" applyFill="1" applyBorder="1" applyAlignment="1">
      <alignment horizontal="center" wrapText="1"/>
    </xf>
    <xf numFmtId="0" fontId="13" fillId="11" borderId="1" xfId="6" applyFont="1" applyFill="1" applyBorder="1" applyAlignment="1">
      <alignment horizontal="justify" vertical="center" wrapText="1"/>
    </xf>
    <xf numFmtId="0" fontId="11" fillId="3" borderId="10" xfId="6" applyFont="1" applyFill="1" applyBorder="1" applyAlignment="1">
      <alignment horizontal="center" vertical="center" wrapText="1"/>
    </xf>
    <xf numFmtId="177" fontId="15" fillId="3" borderId="1" xfId="6" applyNumberFormat="1" applyFont="1" applyFill="1" applyBorder="1" applyAlignment="1">
      <alignment vertical="center" wrapText="1"/>
    </xf>
    <xf numFmtId="0" fontId="15" fillId="0" borderId="1" xfId="6" applyFont="1" applyBorder="1" applyAlignment="1">
      <alignment horizontal="center" vertical="center" wrapText="1"/>
    </xf>
    <xf numFmtId="0" fontId="15" fillId="0" borderId="1" xfId="6" applyFont="1" applyBorder="1" applyAlignment="1">
      <alignment horizontal="center" wrapText="1"/>
    </xf>
    <xf numFmtId="0" fontId="15" fillId="3" borderId="1" xfId="6" applyFont="1" applyFill="1" applyBorder="1" applyAlignment="1">
      <alignment horizontal="center" wrapText="1"/>
    </xf>
    <xf numFmtId="0" fontId="15" fillId="0" borderId="1" xfId="6" applyFont="1" applyFill="1" applyBorder="1" applyAlignment="1">
      <alignment horizontal="justify" vertical="center" wrapText="1"/>
    </xf>
    <xf numFmtId="172" fontId="16" fillId="10" borderId="1" xfId="5" applyNumberFormat="1" applyFont="1" applyFill="1" applyBorder="1" applyAlignment="1">
      <alignment horizontal="right" vertical="center" wrapText="1"/>
    </xf>
    <xf numFmtId="172" fontId="16" fillId="3" borderId="4" xfId="5" applyNumberFormat="1" applyFont="1" applyFill="1" applyBorder="1" applyAlignment="1">
      <alignment horizontal="right" vertical="center" wrapText="1"/>
    </xf>
    <xf numFmtId="172" fontId="16" fillId="3" borderId="1" xfId="5" applyNumberFormat="1" applyFont="1" applyFill="1" applyBorder="1" applyAlignment="1">
      <alignment horizontal="right" vertical="center" wrapText="1"/>
    </xf>
    <xf numFmtId="177" fontId="16" fillId="3" borderId="1" xfId="6" applyNumberFormat="1" applyFont="1" applyFill="1" applyBorder="1" applyAlignment="1">
      <alignment vertical="center" wrapText="1"/>
    </xf>
    <xf numFmtId="0" fontId="16" fillId="0" borderId="1" xfId="6" applyFont="1" applyBorder="1" applyAlignment="1">
      <alignment horizontal="center" vertical="center" wrapText="1"/>
    </xf>
    <xf numFmtId="0" fontId="16" fillId="0" borderId="1" xfId="6" applyFont="1" applyBorder="1" applyAlignment="1">
      <alignment horizontal="center" wrapText="1"/>
    </xf>
    <xf numFmtId="0" fontId="16" fillId="3" borderId="1" xfId="6" applyFont="1" applyFill="1" applyBorder="1" applyAlignment="1">
      <alignment horizontal="center" wrapText="1"/>
    </xf>
    <xf numFmtId="0" fontId="16" fillId="0" borderId="1" xfId="6" applyFont="1" applyFill="1" applyBorder="1" applyAlignment="1">
      <alignment horizontal="justify" vertical="center" wrapText="1"/>
    </xf>
    <xf numFmtId="177" fontId="11" fillId="3" borderId="1" xfId="6" applyNumberFormat="1" applyFont="1" applyFill="1" applyBorder="1" applyAlignment="1">
      <alignment vertical="center" wrapText="1"/>
    </xf>
    <xf numFmtId="0" fontId="11" fillId="0" borderId="1" xfId="6" applyFont="1" applyBorder="1" applyAlignment="1">
      <alignment horizontal="center" vertical="center" wrapText="1"/>
    </xf>
    <xf numFmtId="0" fontId="11" fillId="0" borderId="1" xfId="6" applyFont="1" applyBorder="1" applyAlignment="1">
      <alignment horizontal="center" wrapText="1"/>
    </xf>
    <xf numFmtId="0" fontId="11" fillId="3" borderId="1" xfId="6" applyFont="1" applyFill="1" applyBorder="1" applyAlignment="1">
      <alignment horizontal="center" wrapText="1"/>
    </xf>
    <xf numFmtId="0" fontId="20" fillId="0" borderId="1" xfId="6" applyFont="1" applyFill="1" applyBorder="1" applyAlignment="1">
      <alignment horizontal="justify" vertical="center" wrapText="1"/>
    </xf>
    <xf numFmtId="0" fontId="5" fillId="0" borderId="1" xfId="6" applyFont="1" applyBorder="1" applyAlignment="1">
      <alignment horizontal="justify" vertical="center" wrapText="1"/>
    </xf>
    <xf numFmtId="168" fontId="12" fillId="11" borderId="4" xfId="3" applyFont="1" applyFill="1" applyBorder="1" applyAlignment="1">
      <alignment horizontal="center" vertical="center"/>
    </xf>
    <xf numFmtId="168" fontId="12" fillId="11" borderId="1" xfId="3" applyFont="1" applyFill="1" applyBorder="1" applyAlignment="1">
      <alignment horizontal="center" vertical="center"/>
    </xf>
    <xf numFmtId="0" fontId="13" fillId="11" borderId="1" xfId="6" applyFont="1" applyFill="1" applyBorder="1" applyAlignment="1">
      <alignment horizontal="center" vertical="center" wrapText="1"/>
    </xf>
    <xf numFmtId="9" fontId="12" fillId="3" borderId="1" xfId="7" applyFont="1" applyFill="1" applyBorder="1" applyAlignment="1">
      <alignment horizontal="left" vertical="center"/>
    </xf>
    <xf numFmtId="173" fontId="15" fillId="3" borderId="5" xfId="3" applyNumberFormat="1" applyFont="1" applyFill="1" applyBorder="1" applyAlignment="1">
      <alignment horizontal="left" vertical="center"/>
    </xf>
    <xf numFmtId="0" fontId="5" fillId="0" borderId="1" xfId="6" applyNumberFormat="1" applyFont="1" applyFill="1" applyBorder="1" applyAlignment="1">
      <alignment horizontal="justify" vertical="center" wrapText="1"/>
    </xf>
    <xf numFmtId="0" fontId="20" fillId="3" borderId="1" xfId="6" applyFont="1" applyFill="1" applyBorder="1" applyAlignment="1">
      <alignment horizontal="center" vertical="center" wrapText="1"/>
    </xf>
    <xf numFmtId="0" fontId="20" fillId="0" borderId="1" xfId="6" applyFont="1" applyBorder="1" applyAlignment="1">
      <alignment horizontal="center" vertical="center" wrapText="1"/>
    </xf>
    <xf numFmtId="0" fontId="5" fillId="0" borderId="12" xfId="6" applyFont="1" applyFill="1" applyBorder="1" applyAlignment="1">
      <alignment horizontal="justify" vertical="center" wrapText="1"/>
    </xf>
    <xf numFmtId="0" fontId="11" fillId="11" borderId="4" xfId="6" applyFont="1" applyFill="1" applyBorder="1" applyAlignment="1">
      <alignment horizontal="left" vertical="center"/>
    </xf>
    <xf numFmtId="172" fontId="12" fillId="11" borderId="5" xfId="6" applyNumberFormat="1" applyFont="1" applyFill="1" applyBorder="1" applyAlignment="1">
      <alignment horizontal="left" vertical="center"/>
    </xf>
    <xf numFmtId="177" fontId="12" fillId="11" borderId="3" xfId="6" applyNumberFormat="1" applyFont="1" applyFill="1" applyBorder="1" applyAlignment="1">
      <alignment vertical="center" wrapText="1"/>
    </xf>
    <xf numFmtId="0" fontId="13" fillId="11" borderId="10" xfId="6" applyFont="1" applyFill="1" applyBorder="1" applyAlignment="1">
      <alignment horizontal="justify" vertical="center" wrapText="1"/>
    </xf>
    <xf numFmtId="177" fontId="11" fillId="3" borderId="1" xfId="6" applyNumberFormat="1" applyFont="1" applyFill="1" applyBorder="1" applyAlignment="1">
      <alignment horizontal="left" vertical="center"/>
    </xf>
    <xf numFmtId="0" fontId="11" fillId="3" borderId="5" xfId="6" applyFont="1" applyFill="1" applyBorder="1" applyAlignment="1">
      <alignment horizontal="left" vertical="center"/>
    </xf>
    <xf numFmtId="172" fontId="11" fillId="3" borderId="5" xfId="6" applyNumberFormat="1" applyFont="1" applyFill="1" applyBorder="1" applyAlignment="1">
      <alignment horizontal="left" vertical="center"/>
    </xf>
    <xf numFmtId="172" fontId="16" fillId="10" borderId="3" xfId="5" applyNumberFormat="1" applyFont="1" applyFill="1" applyBorder="1" applyAlignment="1">
      <alignment horizontal="right" vertical="center" wrapText="1"/>
    </xf>
    <xf numFmtId="172" fontId="16" fillId="3" borderId="7" xfId="5" applyNumberFormat="1" applyFont="1" applyFill="1" applyBorder="1" applyAlignment="1">
      <alignment horizontal="right" vertical="center" wrapText="1"/>
    </xf>
    <xf numFmtId="172" fontId="16" fillId="3" borderId="3" xfId="5" applyNumberFormat="1" applyFont="1" applyFill="1" applyBorder="1" applyAlignment="1">
      <alignment horizontal="right" vertical="center" wrapText="1"/>
    </xf>
    <xf numFmtId="177" fontId="16" fillId="3" borderId="3" xfId="6" applyNumberFormat="1" applyFont="1" applyFill="1" applyBorder="1" applyAlignment="1">
      <alignment vertical="center" wrapText="1"/>
    </xf>
    <xf numFmtId="0" fontId="16" fillId="0" borderId="8" xfId="6" applyFont="1" applyBorder="1" applyAlignment="1">
      <alignment horizontal="center" vertical="center" wrapText="1"/>
    </xf>
    <xf numFmtId="0" fontId="16" fillId="3" borderId="8" xfId="6" applyFont="1" applyFill="1" applyBorder="1" applyAlignment="1">
      <alignment horizontal="center" vertical="center" wrapText="1"/>
    </xf>
    <xf numFmtId="0" fontId="16" fillId="3" borderId="1" xfId="6" applyFont="1" applyFill="1" applyBorder="1" applyAlignment="1">
      <alignment horizontal="justify" vertical="center" wrapText="1"/>
    </xf>
    <xf numFmtId="172" fontId="11" fillId="8" borderId="1" xfId="5" applyNumberFormat="1" applyFont="1" applyFill="1" applyBorder="1" applyAlignment="1">
      <alignment horizontal="left" vertical="center"/>
    </xf>
    <xf numFmtId="177" fontId="11" fillId="3" borderId="13" xfId="6" applyNumberFormat="1" applyFont="1" applyFill="1" applyBorder="1" applyAlignment="1">
      <alignment vertical="center" wrapText="1"/>
    </xf>
    <xf numFmtId="0" fontId="20" fillId="0" borderId="8" xfId="6" applyFont="1" applyBorder="1" applyAlignment="1">
      <alignment horizontal="center" vertical="center" wrapText="1"/>
    </xf>
    <xf numFmtId="0" fontId="5" fillId="3" borderId="8" xfId="6" applyFont="1" applyFill="1" applyBorder="1" applyAlignment="1">
      <alignment horizontal="center" vertical="center" wrapText="1"/>
    </xf>
    <xf numFmtId="0" fontId="5" fillId="3" borderId="1" xfId="6" applyFont="1" applyFill="1" applyBorder="1" applyAlignment="1">
      <alignment horizontal="justify" vertical="center" wrapText="1"/>
    </xf>
    <xf numFmtId="177" fontId="11" fillId="3" borderId="3" xfId="6" applyNumberFormat="1" applyFont="1" applyFill="1" applyBorder="1" applyAlignment="1">
      <alignment vertical="center" wrapText="1"/>
    </xf>
    <xf numFmtId="0" fontId="20" fillId="0" borderId="1" xfId="6" applyFont="1" applyBorder="1" applyAlignment="1">
      <alignment horizontal="justify" vertical="center" wrapText="1"/>
    </xf>
    <xf numFmtId="0" fontId="11" fillId="3" borderId="4" xfId="6" applyFont="1" applyFill="1" applyBorder="1" applyAlignment="1">
      <alignment horizontal="left" vertical="center" wrapText="1"/>
    </xf>
    <xf numFmtId="0" fontId="15" fillId="0" borderId="1" xfId="6" applyFont="1" applyBorder="1" applyAlignment="1">
      <alignment horizontal="justify" vertical="center" wrapText="1"/>
    </xf>
    <xf numFmtId="177" fontId="11" fillId="3" borderId="12" xfId="6" applyNumberFormat="1" applyFont="1" applyFill="1" applyBorder="1" applyAlignment="1">
      <alignment vertical="center" wrapText="1"/>
    </xf>
    <xf numFmtId="172" fontId="11" fillId="8" borderId="4" xfId="6" applyNumberFormat="1" applyFont="1" applyFill="1" applyBorder="1" applyAlignment="1">
      <alignment horizontal="left" vertical="center"/>
    </xf>
    <xf numFmtId="172" fontId="11" fillId="8" borderId="1" xfId="6" applyNumberFormat="1" applyFont="1" applyFill="1" applyBorder="1" applyAlignment="1">
      <alignment horizontal="left" vertical="center"/>
    </xf>
    <xf numFmtId="0" fontId="11" fillId="8" borderId="4" xfId="6" applyFont="1" applyFill="1" applyBorder="1" applyAlignment="1">
      <alignment horizontal="left" vertical="center"/>
    </xf>
    <xf numFmtId="172" fontId="4" fillId="8" borderId="5" xfId="5" applyNumberFormat="1" applyFont="1" applyFill="1" applyBorder="1" applyAlignment="1">
      <alignment horizontal="right" vertical="center" wrapText="1"/>
    </xf>
    <xf numFmtId="0" fontId="11" fillId="8" borderId="1" xfId="6" applyFont="1" applyFill="1" applyBorder="1" applyAlignment="1">
      <alignment horizontal="center" vertical="center" wrapText="1"/>
    </xf>
    <xf numFmtId="0" fontId="12" fillId="8" borderId="5" xfId="6" applyFont="1" applyFill="1" applyBorder="1" applyAlignment="1">
      <alignment horizontal="center" vertical="center"/>
    </xf>
    <xf numFmtId="0" fontId="11" fillId="10" borderId="4" xfId="6" applyFont="1" applyFill="1" applyBorder="1" applyAlignment="1">
      <alignment horizontal="left" vertical="center"/>
    </xf>
    <xf numFmtId="172" fontId="12" fillId="10" borderId="1" xfId="6" applyNumberFormat="1" applyFont="1" applyFill="1" applyBorder="1" applyAlignment="1">
      <alignment horizontal="left" vertical="center"/>
    </xf>
    <xf numFmtId="172" fontId="4" fillId="10" borderId="5" xfId="5" applyNumberFormat="1" applyFont="1" applyFill="1" applyBorder="1" applyAlignment="1">
      <alignment horizontal="right" vertical="center" wrapText="1"/>
    </xf>
    <xf numFmtId="172" fontId="12" fillId="11" borderId="8" xfId="6" applyNumberFormat="1" applyFont="1" applyFill="1" applyBorder="1" applyAlignment="1">
      <alignment horizontal="right" vertical="center" wrapText="1"/>
    </xf>
    <xf numFmtId="0" fontId="11" fillId="11" borderId="1" xfId="6" applyFont="1" applyFill="1" applyBorder="1" applyAlignment="1">
      <alignment horizontal="center" vertical="center" wrapText="1"/>
    </xf>
    <xf numFmtId="0" fontId="15" fillId="11" borderId="1" xfId="6" applyFont="1" applyFill="1" applyBorder="1" applyAlignment="1">
      <alignment horizontal="left" vertical="center"/>
    </xf>
    <xf numFmtId="172" fontId="5" fillId="3" borderId="5" xfId="5" applyNumberFormat="1" applyFont="1" applyFill="1" applyBorder="1" applyAlignment="1">
      <alignment horizontal="right" vertical="center" wrapText="1"/>
    </xf>
    <xf numFmtId="164" fontId="5" fillId="3" borderId="8" xfId="6" applyNumberFormat="1" applyFont="1" applyFill="1" applyBorder="1" applyAlignment="1">
      <alignment horizontal="right" vertical="center" wrapText="1"/>
    </xf>
    <xf numFmtId="0" fontId="11" fillId="3" borderId="1" xfId="6" applyFont="1" applyFill="1" applyBorder="1" applyAlignment="1">
      <alignment horizontal="justify" vertical="center" wrapText="1"/>
    </xf>
    <xf numFmtId="173" fontId="5" fillId="0" borderId="1" xfId="3" applyNumberFormat="1" applyFont="1" applyFill="1" applyBorder="1" applyAlignment="1">
      <alignment horizontal="center" vertical="center" wrapText="1"/>
    </xf>
    <xf numFmtId="164" fontId="5" fillId="3" borderId="1" xfId="6" applyNumberFormat="1" applyFont="1" applyFill="1" applyBorder="1" applyAlignment="1">
      <alignment horizontal="right" vertical="center" wrapText="1"/>
    </xf>
    <xf numFmtId="0" fontId="20" fillId="0" borderId="5" xfId="6" applyFont="1" applyBorder="1" applyAlignment="1">
      <alignment horizontal="justify" vertical="center" wrapText="1"/>
    </xf>
    <xf numFmtId="173" fontId="5" fillId="0" borderId="5" xfId="3" applyNumberFormat="1" applyFont="1" applyFill="1" applyBorder="1" applyAlignment="1">
      <alignment horizontal="center" vertical="center" wrapText="1"/>
    </xf>
    <xf numFmtId="0" fontId="20" fillId="3" borderId="8" xfId="6" applyFont="1" applyFill="1" applyBorder="1" applyAlignment="1">
      <alignment horizontal="center" vertical="center" wrapText="1"/>
    </xf>
    <xf numFmtId="0" fontId="20" fillId="3" borderId="5" xfId="6" applyFont="1" applyFill="1" applyBorder="1" applyAlignment="1">
      <alignment horizontal="justify" vertical="center" wrapText="1"/>
    </xf>
    <xf numFmtId="172" fontId="11" fillId="12" borderId="1" xfId="5" applyNumberFormat="1" applyFont="1" applyFill="1" applyBorder="1" applyAlignment="1">
      <alignment horizontal="left" vertical="center"/>
    </xf>
    <xf numFmtId="0" fontId="5" fillId="3" borderId="5" xfId="6" applyFont="1" applyFill="1" applyBorder="1" applyAlignment="1">
      <alignment horizontal="justify" vertical="center" wrapText="1"/>
    </xf>
    <xf numFmtId="0" fontId="5" fillId="0" borderId="5" xfId="6" applyFont="1" applyBorder="1" applyAlignment="1">
      <alignment horizontal="justify" vertical="center" wrapText="1"/>
    </xf>
    <xf numFmtId="172" fontId="11" fillId="10" borderId="4" xfId="6" applyNumberFormat="1" applyFont="1" applyFill="1" applyBorder="1" applyAlignment="1">
      <alignment horizontal="left" vertical="center"/>
    </xf>
    <xf numFmtId="172" fontId="11" fillId="10" borderId="1" xfId="6" applyNumberFormat="1" applyFont="1" applyFill="1" applyBorder="1" applyAlignment="1">
      <alignment horizontal="left" vertical="center"/>
    </xf>
    <xf numFmtId="172" fontId="11" fillId="11" borderId="4" xfId="6" applyNumberFormat="1" applyFont="1" applyFill="1" applyBorder="1" applyAlignment="1">
      <alignment horizontal="left" vertical="center"/>
    </xf>
    <xf numFmtId="172" fontId="11" fillId="11" borderId="1" xfId="6" applyNumberFormat="1" applyFont="1" applyFill="1" applyBorder="1" applyAlignment="1">
      <alignment horizontal="left" vertical="center"/>
    </xf>
    <xf numFmtId="172" fontId="12" fillId="11" borderId="10" xfId="6" applyNumberFormat="1" applyFont="1" applyFill="1" applyBorder="1" applyAlignment="1">
      <alignment horizontal="right" vertical="center" wrapText="1"/>
    </xf>
    <xf numFmtId="0" fontId="11" fillId="13" borderId="1" xfId="6" applyFont="1" applyFill="1" applyBorder="1" applyAlignment="1">
      <alignment horizontal="left" vertical="center"/>
    </xf>
    <xf numFmtId="172" fontId="11" fillId="0" borderId="1" xfId="5" applyNumberFormat="1" applyFont="1" applyFill="1" applyBorder="1" applyAlignment="1">
      <alignment vertical="center" wrapText="1"/>
    </xf>
    <xf numFmtId="164" fontId="20" fillId="3" borderId="1" xfId="6" applyNumberFormat="1" applyFont="1" applyFill="1" applyBorder="1" applyAlignment="1">
      <alignment horizontal="right" vertical="center" wrapText="1"/>
    </xf>
    <xf numFmtId="172" fontId="5" fillId="3" borderId="4" xfId="5" applyNumberFormat="1" applyFont="1" applyFill="1" applyBorder="1" applyAlignment="1">
      <alignment horizontal="right" vertical="center"/>
    </xf>
    <xf numFmtId="172" fontId="5" fillId="3" borderId="1" xfId="5" applyNumberFormat="1" applyFont="1" applyFill="1" applyBorder="1" applyAlignment="1">
      <alignment horizontal="right" vertical="center"/>
    </xf>
    <xf numFmtId="172" fontId="15" fillId="3" borderId="1" xfId="6" applyNumberFormat="1" applyFont="1" applyFill="1" applyBorder="1" applyAlignment="1">
      <alignment wrapText="1"/>
    </xf>
    <xf numFmtId="172" fontId="11" fillId="3" borderId="1" xfId="6" applyNumberFormat="1" applyFont="1" applyFill="1" applyBorder="1" applyAlignment="1">
      <alignment wrapText="1"/>
    </xf>
    <xf numFmtId="172" fontId="11" fillId="0" borderId="1" xfId="6" applyNumberFormat="1" applyFont="1" applyFill="1" applyBorder="1" applyAlignment="1">
      <alignment horizontal="left" vertical="center" wrapText="1"/>
    </xf>
    <xf numFmtId="172" fontId="15" fillId="3" borderId="1" xfId="5" applyNumberFormat="1" applyFont="1" applyFill="1" applyBorder="1" applyAlignment="1">
      <alignment horizontal="right" vertical="center"/>
    </xf>
    <xf numFmtId="172" fontId="15" fillId="0" borderId="1" xfId="5" applyNumberFormat="1" applyFont="1" applyFill="1" applyBorder="1" applyAlignment="1">
      <alignment vertical="center" wrapText="1"/>
    </xf>
    <xf numFmtId="164" fontId="15" fillId="3" borderId="1" xfId="6" applyNumberFormat="1" applyFont="1" applyFill="1" applyBorder="1" applyAlignment="1">
      <alignment horizontal="right" vertical="center" wrapText="1"/>
    </xf>
    <xf numFmtId="0" fontId="15" fillId="3" borderId="1" xfId="6" applyFont="1" applyFill="1" applyBorder="1" applyAlignment="1">
      <alignment horizontal="justify" vertical="center" wrapText="1"/>
    </xf>
    <xf numFmtId="164" fontId="11" fillId="0" borderId="1" xfId="6" applyNumberFormat="1" applyFont="1" applyFill="1" applyBorder="1" applyAlignment="1">
      <alignment horizontal="left" vertical="center"/>
    </xf>
    <xf numFmtId="0" fontId="20" fillId="3" borderId="1" xfId="6" applyFont="1" applyFill="1" applyBorder="1" applyAlignment="1">
      <alignment horizontal="justify" vertical="center" wrapText="1"/>
    </xf>
    <xf numFmtId="172" fontId="15" fillId="3" borderId="1" xfId="5" applyNumberFormat="1" applyFont="1" applyFill="1" applyBorder="1" applyAlignment="1">
      <alignment vertical="center" wrapText="1"/>
    </xf>
    <xf numFmtId="0" fontId="15" fillId="3" borderId="4" xfId="6" applyFont="1" applyFill="1" applyBorder="1" applyAlignment="1">
      <alignment vertical="center" wrapText="1"/>
    </xf>
    <xf numFmtId="0" fontId="11" fillId="3" borderId="3" xfId="6" applyFont="1" applyFill="1" applyBorder="1" applyAlignment="1">
      <alignment horizontal="center" vertical="center" wrapText="1"/>
    </xf>
    <xf numFmtId="173" fontId="12" fillId="10" borderId="5" xfId="3" applyNumberFormat="1" applyFont="1" applyFill="1" applyBorder="1" applyAlignment="1">
      <alignment horizontal="center" vertical="center"/>
    </xf>
    <xf numFmtId="173" fontId="12" fillId="11" borderId="5" xfId="6" applyNumberFormat="1" applyFont="1" applyFill="1" applyBorder="1" applyAlignment="1">
      <alignment horizontal="left" vertical="center"/>
    </xf>
    <xf numFmtId="164" fontId="12" fillId="11" borderId="10" xfId="6" applyNumberFormat="1" applyFont="1" applyFill="1" applyBorder="1" applyAlignment="1">
      <alignment horizontal="right" vertical="center" wrapText="1"/>
    </xf>
    <xf numFmtId="172" fontId="12" fillId="10" borderId="1" xfId="5" applyNumberFormat="1" applyFont="1" applyFill="1" applyBorder="1" applyAlignment="1">
      <alignment horizontal="right" vertical="center"/>
    </xf>
    <xf numFmtId="172" fontId="12" fillId="3" borderId="14" xfId="5" applyNumberFormat="1" applyFont="1" applyFill="1" applyBorder="1" applyAlignment="1">
      <alignment horizontal="right" vertical="center"/>
    </xf>
    <xf numFmtId="172" fontId="12" fillId="3" borderId="10" xfId="5" applyNumberFormat="1" applyFont="1" applyFill="1" applyBorder="1" applyAlignment="1">
      <alignment horizontal="right" vertical="center"/>
    </xf>
    <xf numFmtId="172" fontId="11" fillId="0" borderId="1" xfId="5" applyNumberFormat="1" applyFont="1" applyFill="1" applyBorder="1" applyAlignment="1">
      <alignment horizontal="right" vertical="center"/>
    </xf>
    <xf numFmtId="172" fontId="12" fillId="3" borderId="8" xfId="5" applyNumberFormat="1" applyFont="1" applyFill="1" applyBorder="1" applyAlignment="1">
      <alignment horizontal="right" vertical="center"/>
    </xf>
    <xf numFmtId="172" fontId="11" fillId="3" borderId="10" xfId="6" applyNumberFormat="1" applyFont="1" applyFill="1" applyBorder="1" applyAlignment="1">
      <alignment horizontal="right" vertical="center" wrapText="1"/>
    </xf>
    <xf numFmtId="0" fontId="11" fillId="0" borderId="8" xfId="6" applyFont="1" applyBorder="1" applyAlignment="1">
      <alignment horizontal="center" vertical="center" wrapText="1"/>
    </xf>
    <xf numFmtId="0" fontId="20" fillId="3" borderId="3" xfId="6" applyFont="1" applyFill="1" applyBorder="1" applyAlignment="1">
      <alignment horizontal="justify" vertical="center" wrapText="1"/>
    </xf>
    <xf numFmtId="172" fontId="12" fillId="3" borderId="4" xfId="5" applyNumberFormat="1" applyFont="1" applyFill="1" applyBorder="1" applyAlignment="1">
      <alignment horizontal="right" vertical="center"/>
    </xf>
    <xf numFmtId="172" fontId="12" fillId="3" borderId="1" xfId="5" applyNumberFormat="1" applyFont="1" applyFill="1" applyBorder="1" applyAlignment="1">
      <alignment horizontal="right" vertical="center"/>
    </xf>
    <xf numFmtId="172" fontId="12" fillId="3" borderId="5" xfId="5" applyNumberFormat="1" applyFont="1" applyFill="1" applyBorder="1" applyAlignment="1">
      <alignment horizontal="right" vertical="center"/>
    </xf>
    <xf numFmtId="172" fontId="11" fillId="3" borderId="1" xfId="6" applyNumberFormat="1" applyFont="1" applyFill="1" applyBorder="1" applyAlignment="1">
      <alignment horizontal="right" vertical="center" wrapText="1"/>
    </xf>
    <xf numFmtId="172" fontId="11" fillId="11" borderId="1" xfId="5" applyNumberFormat="1" applyFont="1" applyFill="1" applyBorder="1" applyAlignment="1">
      <alignment horizontal="left" vertical="center"/>
    </xf>
    <xf numFmtId="172" fontId="14" fillId="10" borderId="1" xfId="5" applyNumberFormat="1" applyFont="1" applyFill="1" applyBorder="1" applyAlignment="1">
      <alignment horizontal="right" vertical="center"/>
    </xf>
    <xf numFmtId="172" fontId="14" fillId="3" borderId="4" xfId="5" applyNumberFormat="1" applyFont="1" applyFill="1" applyBorder="1" applyAlignment="1">
      <alignment horizontal="right" vertical="center"/>
    </xf>
    <xf numFmtId="172" fontId="14" fillId="3" borderId="1" xfId="5" applyNumberFormat="1" applyFont="1" applyFill="1" applyBorder="1" applyAlignment="1">
      <alignment horizontal="right" vertical="center"/>
    </xf>
    <xf numFmtId="172" fontId="15" fillId="0" borderId="2" xfId="5" applyNumberFormat="1" applyFont="1" applyFill="1" applyBorder="1" applyAlignment="1">
      <alignment horizontal="right" vertical="center"/>
    </xf>
    <xf numFmtId="172" fontId="14" fillId="3" borderId="5" xfId="5" applyNumberFormat="1" applyFont="1" applyFill="1" applyBorder="1" applyAlignment="1">
      <alignment horizontal="right" vertical="center"/>
    </xf>
    <xf numFmtId="164" fontId="15" fillId="3" borderId="5" xfId="6" applyNumberFormat="1" applyFont="1" applyFill="1" applyBorder="1" applyAlignment="1">
      <alignment horizontal="right" vertical="center" wrapText="1"/>
    </xf>
    <xf numFmtId="0" fontId="15" fillId="0" borderId="8" xfId="6" applyFont="1" applyBorder="1" applyAlignment="1">
      <alignment horizontal="center" vertical="center" wrapText="1"/>
    </xf>
    <xf numFmtId="172" fontId="15" fillId="0" borderId="1" xfId="5" applyNumberFormat="1" applyFont="1" applyFill="1" applyBorder="1" applyAlignment="1">
      <alignment horizontal="left" vertical="center"/>
    </xf>
    <xf numFmtId="172" fontId="11" fillId="0" borderId="2" xfId="5" applyNumberFormat="1" applyFont="1" applyFill="1" applyBorder="1" applyAlignment="1">
      <alignment horizontal="right" vertical="center"/>
    </xf>
    <xf numFmtId="164" fontId="11" fillId="3" borderId="5" xfId="6" applyNumberFormat="1" applyFont="1" applyFill="1" applyBorder="1" applyAlignment="1">
      <alignment horizontal="right" vertical="center" wrapText="1"/>
    </xf>
    <xf numFmtId="164" fontId="11" fillId="0" borderId="5" xfId="6" applyNumberFormat="1" applyFont="1" applyFill="1" applyBorder="1" applyAlignment="1">
      <alignment horizontal="right" vertical="center" wrapText="1"/>
    </xf>
    <xf numFmtId="164" fontId="15" fillId="0" borderId="5" xfId="6" applyNumberFormat="1" applyFont="1" applyFill="1" applyBorder="1" applyAlignment="1">
      <alignment horizontal="right" vertical="center" wrapText="1"/>
    </xf>
    <xf numFmtId="164" fontId="5" fillId="0" borderId="5" xfId="6" applyNumberFormat="1" applyFont="1" applyFill="1" applyBorder="1" applyAlignment="1">
      <alignment horizontal="right" vertical="center" wrapText="1"/>
    </xf>
    <xf numFmtId="0" fontId="5" fillId="0" borderId="8" xfId="6" applyFont="1" applyBorder="1" applyAlignment="1">
      <alignment horizontal="center" vertical="center" wrapText="1"/>
    </xf>
    <xf numFmtId="164" fontId="5" fillId="3" borderId="5" xfId="6" applyNumberFormat="1" applyFont="1" applyFill="1" applyBorder="1" applyAlignment="1">
      <alignment horizontal="right" vertical="center" wrapText="1"/>
    </xf>
    <xf numFmtId="172" fontId="11" fillId="0" borderId="5" xfId="6" applyNumberFormat="1" applyFont="1" applyFill="1" applyBorder="1" applyAlignment="1">
      <alignment horizontal="left" vertical="center"/>
    </xf>
    <xf numFmtId="173" fontId="12" fillId="8" borderId="4" xfId="6" applyNumberFormat="1" applyFont="1" applyFill="1" applyBorder="1" applyAlignment="1">
      <alignment horizontal="left" vertical="center"/>
    </xf>
    <xf numFmtId="173" fontId="12" fillId="8" borderId="1" xfId="6" applyNumberFormat="1" applyFont="1" applyFill="1" applyBorder="1" applyAlignment="1">
      <alignment horizontal="left" vertical="center"/>
    </xf>
    <xf numFmtId="172" fontId="12" fillId="8" borderId="3" xfId="5" applyNumberFormat="1" applyFont="1" applyFill="1" applyBorder="1" applyAlignment="1">
      <alignment horizontal="right" vertical="center"/>
    </xf>
    <xf numFmtId="0" fontId="12" fillId="8" borderId="6" xfId="6" applyFont="1" applyFill="1" applyBorder="1" applyAlignment="1">
      <alignment horizontal="center" vertical="center"/>
    </xf>
    <xf numFmtId="172" fontId="12" fillId="10" borderId="4" xfId="6" applyNumberFormat="1" applyFont="1" applyFill="1" applyBorder="1" applyAlignment="1">
      <alignment horizontal="left" vertical="center"/>
    </xf>
    <xf numFmtId="0" fontId="4" fillId="10" borderId="5" xfId="6" applyFont="1" applyFill="1" applyBorder="1" applyAlignment="1">
      <alignment horizontal="center" vertical="center" wrapText="1"/>
    </xf>
    <xf numFmtId="172" fontId="12" fillId="11" borderId="4" xfId="6" applyNumberFormat="1" applyFont="1" applyFill="1" applyBorder="1" applyAlignment="1">
      <alignment horizontal="left" vertical="center"/>
    </xf>
    <xf numFmtId="172" fontId="12" fillId="11" borderId="1" xfId="6" applyNumberFormat="1" applyFont="1" applyFill="1" applyBorder="1" applyAlignment="1">
      <alignment horizontal="left" vertical="center"/>
    </xf>
    <xf numFmtId="172" fontId="12" fillId="11" borderId="4" xfId="6"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xf>
    <xf numFmtId="172" fontId="4" fillId="3" borderId="1" xfId="5" applyNumberFormat="1" applyFont="1" applyFill="1" applyBorder="1" applyAlignment="1">
      <alignment horizontal="right" vertical="center"/>
    </xf>
    <xf numFmtId="164" fontId="20" fillId="3" borderId="1" xfId="6" applyNumberFormat="1" applyFont="1" applyFill="1" applyBorder="1" applyAlignment="1">
      <alignment vertical="center" wrapText="1"/>
    </xf>
    <xf numFmtId="0" fontId="20" fillId="0" borderId="5" xfId="6" applyFont="1" applyBorder="1" applyAlignment="1">
      <alignment horizontal="center" vertical="center" wrapText="1"/>
    </xf>
    <xf numFmtId="0" fontId="20" fillId="3" borderId="5" xfId="6" applyFont="1" applyFill="1" applyBorder="1" applyAlignment="1">
      <alignment horizontal="center" vertical="center" wrapText="1"/>
    </xf>
    <xf numFmtId="172" fontId="11" fillId="0" borderId="4" xfId="6" applyNumberFormat="1" applyFont="1" applyFill="1" applyBorder="1" applyAlignment="1">
      <alignment horizontal="left" vertical="center"/>
    </xf>
    <xf numFmtId="173" fontId="5" fillId="0" borderId="1" xfId="3" applyNumberFormat="1" applyFont="1" applyFill="1" applyBorder="1" applyAlignment="1">
      <alignment horizontal="left" vertical="center"/>
    </xf>
    <xf numFmtId="172" fontId="5" fillId="3" borderId="5" xfId="5" applyNumberFormat="1" applyFont="1" applyFill="1" applyBorder="1" applyAlignment="1">
      <alignment vertical="center"/>
    </xf>
    <xf numFmtId="0" fontId="11" fillId="0" borderId="1" xfId="6" applyFont="1" applyBorder="1" applyAlignment="1">
      <alignment horizontal="justify" vertical="center" wrapText="1"/>
    </xf>
    <xf numFmtId="173" fontId="12" fillId="10" borderId="4" xfId="6" applyNumberFormat="1" applyFont="1" applyFill="1" applyBorder="1" applyAlignment="1">
      <alignment horizontal="left" vertical="center"/>
    </xf>
    <xf numFmtId="173" fontId="12" fillId="10" borderId="1" xfId="6" applyNumberFormat="1" applyFont="1" applyFill="1" applyBorder="1" applyAlignment="1">
      <alignment horizontal="left" vertical="center"/>
    </xf>
    <xf numFmtId="168" fontId="12" fillId="11" borderId="4" xfId="3" applyFont="1" applyFill="1" applyBorder="1" applyAlignment="1">
      <alignment horizontal="left" vertical="center"/>
    </xf>
    <xf numFmtId="168" fontId="12" fillId="11" borderId="1" xfId="3" applyFont="1" applyFill="1" applyBorder="1" applyAlignment="1">
      <alignment horizontal="left" vertical="center"/>
    </xf>
    <xf numFmtId="168" fontId="11" fillId="11" borderId="1" xfId="3" applyFont="1" applyFill="1" applyBorder="1" applyAlignment="1">
      <alignment horizontal="left" vertical="center"/>
    </xf>
    <xf numFmtId="172" fontId="15" fillId="3" borderId="4" xfId="5" applyNumberFormat="1" applyFont="1" applyFill="1" applyBorder="1" applyAlignment="1">
      <alignment horizontal="right" vertical="center" wrapText="1"/>
    </xf>
    <xf numFmtId="172" fontId="11" fillId="3" borderId="5" xfId="5" applyNumberFormat="1" applyFont="1" applyFill="1" applyBorder="1" applyAlignment="1">
      <alignment horizontal="right" vertical="center" wrapText="1"/>
    </xf>
    <xf numFmtId="0" fontId="5" fillId="3" borderId="1" xfId="6" applyFont="1" applyFill="1" applyBorder="1" applyAlignment="1">
      <alignment vertical="center" wrapText="1"/>
    </xf>
    <xf numFmtId="0" fontId="11" fillId="0" borderId="10" xfId="6" applyFont="1" applyBorder="1" applyAlignment="1">
      <alignment horizontal="center" vertical="center" wrapText="1"/>
    </xf>
    <xf numFmtId="0" fontId="11" fillId="0" borderId="9" xfId="6" applyFont="1" applyBorder="1" applyAlignment="1">
      <alignment horizontal="center" vertical="center" wrapText="1"/>
    </xf>
    <xf numFmtId="168" fontId="11" fillId="0" borderId="0" xfId="6" applyNumberFormat="1" applyFont="1" applyFill="1" applyAlignment="1">
      <alignment horizontal="left" vertical="center"/>
    </xf>
    <xf numFmtId="172" fontId="16" fillId="3" borderId="1" xfId="5" applyNumberFormat="1" applyFont="1" applyFill="1" applyBorder="1" applyAlignment="1">
      <alignment horizontal="right" vertical="center"/>
    </xf>
    <xf numFmtId="172" fontId="16" fillId="3" borderId="5" xfId="5" applyNumberFormat="1" applyFont="1" applyFill="1" applyBorder="1" applyAlignment="1">
      <alignment horizontal="right" vertical="center" wrapText="1"/>
    </xf>
    <xf numFmtId="0" fontId="16" fillId="3" borderId="1" xfId="6" applyFont="1" applyFill="1" applyBorder="1" applyAlignment="1">
      <alignment vertical="center" wrapText="1"/>
    </xf>
    <xf numFmtId="172" fontId="5" fillId="3" borderId="4"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xf>
    <xf numFmtId="0" fontId="20" fillId="3" borderId="1" xfId="6" applyFont="1" applyFill="1" applyBorder="1" applyAlignment="1">
      <alignment vertical="center" wrapText="1"/>
    </xf>
    <xf numFmtId="0" fontId="20" fillId="0" borderId="1" xfId="6" applyFont="1" applyBorder="1" applyAlignment="1">
      <alignment vertical="center" wrapText="1"/>
    </xf>
    <xf numFmtId="168" fontId="11" fillId="0" borderId="0" xfId="3" applyFont="1" applyFill="1" applyAlignment="1">
      <alignment horizontal="left" vertical="center"/>
    </xf>
    <xf numFmtId="0" fontId="11" fillId="0" borderId="3" xfId="6" applyFont="1" applyBorder="1" applyAlignment="1">
      <alignment horizontal="center" vertical="center" wrapText="1"/>
    </xf>
    <xf numFmtId="0" fontId="11" fillId="11" borderId="4" xfId="6" applyFont="1" applyFill="1" applyBorder="1" applyAlignment="1">
      <alignment horizontal="left" vertical="center" wrapText="1"/>
    </xf>
    <xf numFmtId="0" fontId="5" fillId="3" borderId="1" xfId="6" applyFont="1" applyFill="1" applyBorder="1" applyAlignment="1">
      <alignment horizontal="left" vertical="center" wrapText="1"/>
    </xf>
    <xf numFmtId="172" fontId="11" fillId="3" borderId="1" xfId="6" applyNumberFormat="1" applyFont="1" applyFill="1" applyBorder="1" applyAlignment="1">
      <alignment horizontal="left" vertical="center"/>
    </xf>
    <xf numFmtId="164" fontId="12" fillId="10" borderId="1" xfId="6" applyNumberFormat="1" applyFont="1" applyFill="1" applyBorder="1" applyAlignment="1">
      <alignment horizontal="right" vertical="center" wrapText="1"/>
    </xf>
    <xf numFmtId="164" fontId="11" fillId="3" borderId="4" xfId="6" applyNumberFormat="1" applyFont="1" applyFill="1" applyBorder="1" applyAlignment="1">
      <alignment horizontal="right" vertical="center" wrapText="1"/>
    </xf>
    <xf numFmtId="164" fontId="12" fillId="3" borderId="1" xfId="6" applyNumberFormat="1" applyFont="1" applyFill="1" applyBorder="1" applyAlignment="1">
      <alignment horizontal="right" vertical="center" wrapText="1"/>
    </xf>
    <xf numFmtId="172" fontId="12" fillId="3" borderId="5" xfId="6" applyNumberFormat="1" applyFont="1" applyFill="1" applyBorder="1" applyAlignment="1">
      <alignment horizontal="right" vertical="center" wrapText="1"/>
    </xf>
    <xf numFmtId="0" fontId="12" fillId="3" borderId="10" xfId="6" applyFont="1" applyFill="1" applyBorder="1" applyAlignment="1">
      <alignment horizontal="center" vertical="center" wrapText="1"/>
    </xf>
    <xf numFmtId="0" fontId="20" fillId="0" borderId="1" xfId="6" applyFont="1" applyBorder="1" applyAlignment="1">
      <alignment horizontal="justify" vertical="center"/>
    </xf>
    <xf numFmtId="0" fontId="5" fillId="0" borderId="1" xfId="6" applyFont="1" applyBorder="1" applyAlignment="1">
      <alignment horizontal="justify" vertical="center"/>
    </xf>
    <xf numFmtId="0" fontId="11" fillId="3" borderId="0" xfId="6" applyFont="1" applyFill="1" applyAlignment="1">
      <alignment horizontal="left" vertical="center" wrapText="1"/>
    </xf>
    <xf numFmtId="0" fontId="5" fillId="3" borderId="1" xfId="6" applyFont="1" applyFill="1" applyBorder="1" applyAlignment="1">
      <alignment horizontal="left" vertical="center"/>
    </xf>
    <xf numFmtId="164" fontId="14" fillId="10" borderId="1" xfId="6" applyNumberFormat="1" applyFont="1" applyFill="1" applyBorder="1" applyAlignment="1">
      <alignment horizontal="right" vertical="center" wrapText="1"/>
    </xf>
    <xf numFmtId="164" fontId="15" fillId="3" borderId="4" xfId="6" applyNumberFormat="1" applyFont="1" applyFill="1" applyBorder="1" applyAlignment="1">
      <alignment horizontal="right" vertical="center" wrapText="1"/>
    </xf>
    <xf numFmtId="164" fontId="14" fillId="3" borderId="1" xfId="6" applyNumberFormat="1" applyFont="1" applyFill="1" applyBorder="1" applyAlignment="1">
      <alignment horizontal="right" vertical="center" wrapText="1"/>
    </xf>
    <xf numFmtId="172" fontId="14" fillId="3" borderId="5" xfId="6" applyNumberFormat="1" applyFont="1" applyFill="1" applyBorder="1" applyAlignment="1">
      <alignment horizontal="right" vertical="center" wrapText="1"/>
    </xf>
    <xf numFmtId="0" fontId="14" fillId="3" borderId="10" xfId="6" applyFont="1" applyFill="1" applyBorder="1" applyAlignment="1">
      <alignment horizontal="center" vertical="center" wrapText="1"/>
    </xf>
    <xf numFmtId="0" fontId="15" fillId="0" borderId="1" xfId="6" applyFont="1" applyBorder="1" applyAlignment="1">
      <alignment horizontal="justify" vertical="center"/>
    </xf>
    <xf numFmtId="0" fontId="5" fillId="0" borderId="1" xfId="6" applyFont="1" applyBorder="1" applyAlignment="1">
      <alignment horizontal="center" vertical="center" wrapText="1"/>
    </xf>
    <xf numFmtId="0" fontId="4" fillId="3" borderId="10" xfId="6" applyFont="1" applyFill="1" applyBorder="1" applyAlignment="1">
      <alignment horizontal="center" vertical="center" wrapText="1"/>
    </xf>
    <xf numFmtId="173" fontId="11" fillId="11" borderId="4" xfId="3" applyNumberFormat="1" applyFont="1" applyFill="1" applyBorder="1" applyAlignment="1">
      <alignment horizontal="center" vertical="center"/>
    </xf>
    <xf numFmtId="173" fontId="11" fillId="11" borderId="1" xfId="3" applyNumberFormat="1" applyFont="1" applyFill="1" applyBorder="1" applyAlignment="1">
      <alignment horizontal="center" vertical="center"/>
    </xf>
    <xf numFmtId="172" fontId="12" fillId="11" borderId="5" xfId="6" applyNumberFormat="1" applyFont="1" applyFill="1" applyBorder="1" applyAlignment="1">
      <alignment horizontal="right" vertical="center" wrapText="1"/>
    </xf>
    <xf numFmtId="164" fontId="16" fillId="10" borderId="1" xfId="6" applyNumberFormat="1" applyFont="1" applyFill="1" applyBorder="1" applyAlignment="1">
      <alignment horizontal="right" vertical="center" wrapText="1"/>
    </xf>
    <xf numFmtId="164" fontId="16" fillId="3" borderId="4" xfId="6" applyNumberFormat="1" applyFont="1" applyFill="1" applyBorder="1" applyAlignment="1">
      <alignment horizontal="right" vertical="center" wrapText="1"/>
    </xf>
    <xf numFmtId="164" fontId="16" fillId="3" borderId="5" xfId="6" applyNumberFormat="1" applyFont="1" applyFill="1" applyBorder="1" applyAlignment="1">
      <alignment horizontal="right" vertical="center" wrapText="1"/>
    </xf>
    <xf numFmtId="177" fontId="16" fillId="3" borderId="6" xfId="6" applyNumberFormat="1" applyFont="1" applyFill="1" applyBorder="1" applyAlignment="1">
      <alignment horizontal="right" vertical="center" wrapText="1"/>
    </xf>
    <xf numFmtId="164" fontId="16" fillId="3" borderId="1" xfId="6" applyNumberFormat="1" applyFont="1" applyFill="1" applyBorder="1" applyAlignment="1">
      <alignment horizontal="right" vertical="center" wrapText="1"/>
    </xf>
    <xf numFmtId="172" fontId="16" fillId="3" borderId="5" xfId="6" applyNumberFormat="1" applyFont="1" applyFill="1" applyBorder="1" applyAlignment="1">
      <alignment horizontal="right" vertical="center" wrapText="1"/>
    </xf>
    <xf numFmtId="0" fontId="16" fillId="0" borderId="10" xfId="6" applyFont="1" applyBorder="1" applyAlignment="1">
      <alignment horizontal="center" vertical="center" wrapText="1"/>
    </xf>
    <xf numFmtId="0" fontId="16" fillId="3" borderId="10" xfId="6" applyFont="1" applyFill="1" applyBorder="1" applyAlignment="1">
      <alignment horizontal="center" vertical="center" wrapText="1"/>
    </xf>
    <xf numFmtId="0" fontId="16" fillId="0" borderId="1" xfId="6" applyFont="1" applyBorder="1" applyAlignment="1">
      <alignment horizontal="justify" vertical="center"/>
    </xf>
    <xf numFmtId="177" fontId="11" fillId="3" borderId="13" xfId="6" applyNumberFormat="1" applyFont="1" applyFill="1" applyBorder="1" applyAlignment="1">
      <alignment horizontal="right" vertical="center" wrapText="1"/>
    </xf>
    <xf numFmtId="0" fontId="4" fillId="0" borderId="1" xfId="6" applyFont="1" applyBorder="1" applyAlignment="1">
      <alignment horizontal="center" vertical="center" wrapText="1"/>
    </xf>
    <xf numFmtId="177" fontId="11" fillId="3" borderId="1" xfId="6" applyNumberFormat="1" applyFont="1" applyFill="1" applyBorder="1" applyAlignment="1">
      <alignment horizontal="right" vertical="center" wrapText="1"/>
    </xf>
    <xf numFmtId="177" fontId="11" fillId="0" borderId="1" xfId="6" applyNumberFormat="1" applyFont="1" applyBorder="1" applyAlignment="1">
      <alignment horizontal="right" vertical="center" wrapText="1"/>
    </xf>
    <xf numFmtId="177" fontId="11" fillId="0" borderId="12" xfId="6" applyNumberFormat="1" applyFont="1" applyBorder="1" applyAlignment="1">
      <alignment horizontal="right" vertical="center" wrapText="1"/>
    </xf>
    <xf numFmtId="172" fontId="12" fillId="11" borderId="4" xfId="7" applyNumberFormat="1" applyFont="1" applyFill="1" applyBorder="1" applyAlignment="1">
      <alignment horizontal="center" vertical="center"/>
    </xf>
    <xf numFmtId="172" fontId="12" fillId="11" borderId="1" xfId="7" applyNumberFormat="1" applyFont="1" applyFill="1" applyBorder="1" applyAlignment="1">
      <alignment horizontal="center" vertical="center"/>
    </xf>
    <xf numFmtId="172" fontId="11" fillId="11" borderId="5" xfId="6" applyNumberFormat="1" applyFont="1" applyFill="1" applyBorder="1" applyAlignment="1">
      <alignment horizontal="left" vertical="center"/>
    </xf>
    <xf numFmtId="172" fontId="11" fillId="3" borderId="4" xfId="6" applyNumberFormat="1" applyFont="1" applyFill="1" applyBorder="1" applyAlignment="1">
      <alignment horizontal="left" vertical="center"/>
    </xf>
    <xf numFmtId="172" fontId="11" fillId="3" borderId="1" xfId="6" applyNumberFormat="1" applyFont="1" applyFill="1" applyBorder="1" applyAlignment="1">
      <alignment horizontal="left" vertical="center" wrapText="1"/>
    </xf>
    <xf numFmtId="172" fontId="16" fillId="10" borderId="1" xfId="6" applyNumberFormat="1" applyFont="1" applyFill="1" applyBorder="1" applyAlignment="1">
      <alignment horizontal="right" vertical="center" wrapText="1"/>
    </xf>
    <xf numFmtId="172" fontId="16" fillId="3" borderId="10" xfId="6" applyNumberFormat="1" applyFont="1" applyFill="1" applyBorder="1" applyAlignment="1">
      <alignment horizontal="right" vertical="center" wrapText="1"/>
    </xf>
    <xf numFmtId="0" fontId="16" fillId="3" borderId="1" xfId="6" applyFont="1" applyFill="1" applyBorder="1" applyAlignment="1">
      <alignment horizontal="center" vertical="center" wrapText="1"/>
    </xf>
    <xf numFmtId="0" fontId="16" fillId="3" borderId="5" xfId="6" applyFont="1" applyFill="1" applyBorder="1" applyAlignment="1">
      <alignment horizontal="center" vertical="center" wrapText="1"/>
    </xf>
    <xf numFmtId="0" fontId="16" fillId="3" borderId="1" xfId="6" applyFont="1" applyFill="1" applyBorder="1" applyAlignment="1">
      <alignment horizontal="justify" vertical="center"/>
    </xf>
    <xf numFmtId="164" fontId="11" fillId="3" borderId="1" xfId="6" applyNumberFormat="1" applyFont="1" applyFill="1" applyBorder="1" applyAlignment="1">
      <alignment horizontal="right" vertical="center" wrapText="1"/>
    </xf>
    <xf numFmtId="0" fontId="20" fillId="3" borderId="1" xfId="6" applyFont="1" applyFill="1" applyBorder="1" applyAlignment="1">
      <alignment horizontal="justify" vertical="center"/>
    </xf>
    <xf numFmtId="172" fontId="12" fillId="11" borderId="1" xfId="6" applyNumberFormat="1" applyFont="1" applyFill="1" applyBorder="1" applyAlignment="1">
      <alignment horizontal="center" vertical="center" wrapText="1"/>
    </xf>
    <xf numFmtId="0" fontId="12" fillId="11" borderId="3" xfId="6" applyFont="1" applyFill="1" applyBorder="1" applyAlignment="1">
      <alignment horizontal="center" vertical="center" wrapText="1"/>
    </xf>
    <xf numFmtId="172" fontId="12" fillId="10" borderId="1" xfId="6" applyNumberFormat="1" applyFont="1" applyFill="1" applyBorder="1" applyAlignment="1">
      <alignment horizontal="right" vertical="center" wrapText="1"/>
    </xf>
    <xf numFmtId="172" fontId="5" fillId="3" borderId="10" xfId="6" applyNumberFormat="1" applyFont="1" applyFill="1" applyBorder="1" applyAlignment="1">
      <alignment horizontal="right" vertical="center" wrapText="1"/>
    </xf>
    <xf numFmtId="172" fontId="11" fillId="3" borderId="5" xfId="6" applyNumberFormat="1" applyFont="1" applyFill="1" applyBorder="1" applyAlignment="1">
      <alignment horizontal="right" vertical="center" wrapText="1"/>
    </xf>
    <xf numFmtId="0" fontId="20" fillId="0" borderId="11" xfId="6" applyFont="1" applyBorder="1" applyAlignment="1">
      <alignment horizontal="center" vertical="center" wrapText="1"/>
    </xf>
    <xf numFmtId="172" fontId="4" fillId="10" borderId="1" xfId="6" applyNumberFormat="1" applyFont="1" applyFill="1" applyBorder="1" applyAlignment="1">
      <alignment horizontal="right" vertical="center" wrapText="1"/>
    </xf>
    <xf numFmtId="164" fontId="5" fillId="3" borderId="4" xfId="6" applyNumberFormat="1" applyFont="1" applyFill="1" applyBorder="1" applyAlignment="1">
      <alignment horizontal="right" vertical="center" wrapText="1"/>
    </xf>
    <xf numFmtId="0" fontId="11" fillId="11" borderId="5" xfId="6" applyFont="1" applyFill="1" applyBorder="1" applyAlignment="1">
      <alignment horizontal="left" vertical="center"/>
    </xf>
    <xf numFmtId="17" fontId="11" fillId="3" borderId="1" xfId="6" applyNumberFormat="1" applyFont="1" applyFill="1" applyBorder="1" applyAlignment="1">
      <alignment horizontal="center" vertical="center" wrapText="1"/>
    </xf>
    <xf numFmtId="0" fontId="11" fillId="3" borderId="1" xfId="6" applyFont="1" applyFill="1" applyBorder="1" applyAlignment="1">
      <alignment vertical="center" wrapText="1"/>
    </xf>
    <xf numFmtId="0" fontId="4" fillId="8" borderId="1" xfId="6" applyFont="1" applyFill="1" applyBorder="1" applyAlignment="1">
      <alignment horizontal="center" vertical="center" wrapText="1"/>
    </xf>
    <xf numFmtId="0" fontId="4" fillId="10" borderId="1" xfId="6" applyFont="1" applyFill="1" applyBorder="1" applyAlignment="1">
      <alignment horizontal="center" vertical="center" wrapText="1"/>
    </xf>
    <xf numFmtId="172" fontId="4" fillId="11" borderId="4" xfId="5" applyNumberFormat="1" applyFont="1" applyFill="1" applyBorder="1" applyAlignment="1">
      <alignment horizontal="right" vertical="center"/>
    </xf>
    <xf numFmtId="173" fontId="12" fillId="11" borderId="4" xfId="7" applyNumberFormat="1" applyFont="1" applyFill="1" applyBorder="1" applyAlignment="1">
      <alignment horizontal="center" vertical="center"/>
    </xf>
    <xf numFmtId="173" fontId="12" fillId="11" borderId="1" xfId="7" applyNumberFormat="1" applyFont="1" applyFill="1" applyBorder="1" applyAlignment="1">
      <alignment horizontal="center" vertical="center"/>
    </xf>
    <xf numFmtId="9" fontId="12" fillId="0" borderId="1" xfId="7" applyFont="1" applyFill="1" applyBorder="1" applyAlignment="1">
      <alignment horizontal="center" vertical="center"/>
    </xf>
    <xf numFmtId="164" fontId="11" fillId="3" borderId="1" xfId="6" applyNumberFormat="1" applyFont="1" applyFill="1" applyBorder="1" applyAlignment="1">
      <alignment horizontal="center" vertical="center" wrapText="1"/>
    </xf>
    <xf numFmtId="0" fontId="17" fillId="0" borderId="1" xfId="6" applyFont="1" applyBorder="1" applyAlignment="1">
      <alignment vertical="center" wrapText="1"/>
    </xf>
    <xf numFmtId="0" fontId="5" fillId="3" borderId="4" xfId="6" applyFont="1" applyFill="1" applyBorder="1" applyAlignment="1">
      <alignment vertical="center" wrapText="1"/>
    </xf>
    <xf numFmtId="0" fontId="5" fillId="3" borderId="14" xfId="6" applyFont="1" applyFill="1" applyBorder="1" applyAlignment="1">
      <alignment horizontal="center" vertical="center" wrapText="1"/>
    </xf>
    <xf numFmtId="172" fontId="12" fillId="3" borderId="1" xfId="6" applyNumberFormat="1" applyFont="1" applyFill="1" applyBorder="1" applyAlignment="1">
      <alignment horizontal="right" vertical="center" wrapText="1"/>
    </xf>
    <xf numFmtId="0" fontId="5" fillId="3" borderId="10" xfId="6" applyFont="1" applyFill="1" applyBorder="1" applyAlignment="1">
      <alignment vertical="center" wrapText="1"/>
    </xf>
    <xf numFmtId="0" fontId="5" fillId="3" borderId="15" xfId="6" applyFont="1" applyFill="1" applyBorder="1" applyAlignment="1">
      <alignment vertical="center" wrapText="1"/>
    </xf>
    <xf numFmtId="0" fontId="5" fillId="3" borderId="9" xfId="6" applyFont="1" applyFill="1" applyBorder="1" applyAlignment="1">
      <alignment vertical="center" wrapText="1"/>
    </xf>
    <xf numFmtId="164" fontId="11" fillId="0" borderId="0" xfId="6" applyNumberFormat="1" applyFont="1" applyFill="1" applyAlignment="1">
      <alignment horizontal="left" vertical="center"/>
    </xf>
    <xf numFmtId="9" fontId="4" fillId="0" borderId="1" xfId="7" applyFont="1" applyFill="1" applyBorder="1" applyAlignment="1">
      <alignment horizontal="center" vertical="center"/>
    </xf>
    <xf numFmtId="173" fontId="15" fillId="0" borderId="5" xfId="3" applyNumberFormat="1" applyFont="1" applyFill="1" applyBorder="1" applyAlignment="1">
      <alignment horizontal="left" vertical="center"/>
    </xf>
    <xf numFmtId="172" fontId="16" fillId="10" borderId="1" xfId="5" applyNumberFormat="1" applyFont="1" applyFill="1" applyBorder="1" applyAlignment="1">
      <alignment horizontal="right" vertical="center"/>
    </xf>
    <xf numFmtId="172" fontId="14" fillId="10" borderId="4" xfId="5" applyNumberFormat="1" applyFont="1" applyFill="1" applyBorder="1" applyAlignment="1">
      <alignment horizontal="right" vertical="center"/>
    </xf>
    <xf numFmtId="164" fontId="15" fillId="3" borderId="1" xfId="6" applyNumberFormat="1" applyFont="1" applyFill="1" applyBorder="1" applyAlignment="1">
      <alignment horizontal="center" vertical="center" wrapText="1"/>
    </xf>
    <xf numFmtId="0" fontId="15" fillId="3" borderId="1" xfId="6" applyFont="1" applyFill="1" applyBorder="1" applyAlignment="1">
      <alignment vertical="center" wrapText="1"/>
    </xf>
    <xf numFmtId="0" fontId="16" fillId="0" borderId="4" xfId="6" applyFont="1" applyFill="1" applyBorder="1" applyAlignment="1">
      <alignment vertical="center" wrapText="1"/>
    </xf>
    <xf numFmtId="173" fontId="5" fillId="11" borderId="5" xfId="3" applyNumberFormat="1" applyFont="1" applyFill="1" applyBorder="1" applyAlignment="1">
      <alignment horizontal="left" vertical="center"/>
    </xf>
    <xf numFmtId="0" fontId="5" fillId="0" borderId="4" xfId="6" applyFont="1" applyFill="1" applyBorder="1" applyAlignment="1">
      <alignment vertical="center" wrapText="1"/>
    </xf>
    <xf numFmtId="172" fontId="16" fillId="3" borderId="4" xfId="5" applyNumberFormat="1" applyFont="1" applyFill="1" applyBorder="1" applyAlignment="1">
      <alignment horizontal="right" vertical="center"/>
    </xf>
    <xf numFmtId="164" fontId="16" fillId="3" borderId="1" xfId="6" applyNumberFormat="1" applyFont="1" applyFill="1" applyBorder="1" applyAlignment="1">
      <alignment horizontal="center" vertical="center" wrapText="1"/>
    </xf>
    <xf numFmtId="0" fontId="16" fillId="3" borderId="4" xfId="6" applyFont="1" applyFill="1" applyBorder="1" applyAlignment="1">
      <alignment vertical="center" wrapText="1"/>
    </xf>
    <xf numFmtId="0" fontId="5" fillId="0" borderId="1" xfId="6" applyFont="1" applyFill="1" applyBorder="1" applyAlignment="1">
      <alignment horizontal="left" vertical="center"/>
    </xf>
    <xf numFmtId="14" fontId="5" fillId="0" borderId="1" xfId="6" applyNumberFormat="1" applyFont="1" applyFill="1" applyBorder="1" applyAlignment="1">
      <alignment horizontal="left" vertical="center"/>
    </xf>
    <xf numFmtId="172" fontId="11" fillId="14" borderId="1" xfId="5" applyNumberFormat="1" applyFont="1" applyFill="1" applyBorder="1" applyAlignment="1">
      <alignment horizontal="left" vertical="center"/>
    </xf>
    <xf numFmtId="9" fontId="11" fillId="14" borderId="1" xfId="7" applyFont="1" applyFill="1" applyBorder="1" applyAlignment="1">
      <alignment vertical="center"/>
    </xf>
    <xf numFmtId="164" fontId="5" fillId="3" borderId="1" xfId="6" applyNumberFormat="1" applyFont="1" applyFill="1" applyBorder="1" applyAlignment="1">
      <alignment horizontal="center" vertical="center" wrapText="1"/>
    </xf>
    <xf numFmtId="177" fontId="16" fillId="3" borderId="1" xfId="6" applyNumberFormat="1" applyFont="1" applyFill="1" applyBorder="1" applyAlignment="1">
      <alignment horizontal="center" vertical="center" wrapText="1"/>
    </xf>
    <xf numFmtId="177" fontId="7" fillId="0" borderId="1" xfId="6" applyNumberFormat="1" applyFont="1" applyBorder="1" applyAlignment="1">
      <alignment horizontal="center" vertical="center" wrapText="1"/>
    </xf>
    <xf numFmtId="0" fontId="7" fillId="0" borderId="1" xfId="6" applyFont="1" applyBorder="1" applyAlignment="1">
      <alignment vertical="center" wrapText="1"/>
    </xf>
    <xf numFmtId="177" fontId="7" fillId="3" borderId="1" xfId="6" applyNumberFormat="1" applyFont="1" applyFill="1" applyBorder="1" applyAlignment="1">
      <alignment horizontal="center" vertical="center" wrapText="1"/>
    </xf>
    <xf numFmtId="172" fontId="16" fillId="11" borderId="1" xfId="5" applyNumberFormat="1" applyFont="1" applyFill="1" applyBorder="1" applyAlignment="1">
      <alignment horizontal="right" vertical="center"/>
    </xf>
    <xf numFmtId="172" fontId="16" fillId="11" borderId="4" xfId="5" applyNumberFormat="1" applyFont="1" applyFill="1" applyBorder="1" applyAlignment="1">
      <alignment horizontal="right" vertical="center"/>
    </xf>
    <xf numFmtId="0" fontId="16" fillId="3" borderId="4" xfId="6" applyNumberFormat="1" applyFont="1" applyFill="1" applyBorder="1" applyAlignment="1">
      <alignment vertical="center" wrapText="1"/>
    </xf>
    <xf numFmtId="0" fontId="5" fillId="3" borderId="4" xfId="6" applyNumberFormat="1" applyFont="1" applyFill="1" applyBorder="1" applyAlignment="1">
      <alignment vertical="center" wrapText="1"/>
    </xf>
    <xf numFmtId="173" fontId="11" fillId="0" borderId="4" xfId="3" applyNumberFormat="1" applyFont="1" applyFill="1" applyBorder="1" applyAlignment="1">
      <alignment horizontal="center" vertical="center"/>
    </xf>
    <xf numFmtId="0" fontId="5" fillId="3" borderId="4" xfId="6" applyFont="1" applyFill="1" applyBorder="1" applyAlignment="1">
      <alignment horizontal="justify" vertical="center" wrapText="1"/>
    </xf>
    <xf numFmtId="0" fontId="11" fillId="0" borderId="4" xfId="6"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3" xfId="6" applyFont="1" applyFill="1" applyBorder="1" applyAlignment="1">
      <alignment vertical="center" wrapText="1"/>
    </xf>
    <xf numFmtId="177" fontId="4" fillId="3" borderId="1" xfId="6" applyNumberFormat="1" applyFont="1" applyFill="1" applyBorder="1" applyAlignment="1">
      <alignment horizontal="right" vertical="center" wrapText="1"/>
    </xf>
    <xf numFmtId="0" fontId="17" fillId="0" borderId="1" xfId="6" applyFont="1" applyBorder="1" applyAlignment="1">
      <alignment horizontal="center" vertical="center" wrapText="1"/>
    </xf>
    <xf numFmtId="0" fontId="20" fillId="0" borderId="1" xfId="6" applyFont="1" applyBorder="1" applyAlignment="1">
      <alignment horizontal="left" vertical="center" wrapText="1"/>
    </xf>
    <xf numFmtId="173" fontId="12" fillId="11" borderId="10" xfId="6" applyNumberFormat="1" applyFont="1" applyFill="1" applyBorder="1" applyAlignment="1">
      <alignment horizontal="right" vertical="center" wrapText="1"/>
    </xf>
    <xf numFmtId="172" fontId="5" fillId="3" borderId="10" xfId="5" applyNumberFormat="1" applyFont="1" applyFill="1" applyBorder="1" applyAlignment="1">
      <alignment horizontal="right" vertical="center" wrapText="1"/>
    </xf>
    <xf numFmtId="177" fontId="4" fillId="3" borderId="10" xfId="6" applyNumberFormat="1" applyFont="1" applyFill="1" applyBorder="1" applyAlignment="1">
      <alignment horizontal="right" vertical="center" wrapText="1"/>
    </xf>
    <xf numFmtId="172" fontId="5" fillId="3" borderId="8" xfId="5" applyNumberFormat="1" applyFont="1" applyFill="1" applyBorder="1" applyAlignment="1">
      <alignment horizontal="right" vertical="center" wrapText="1"/>
    </xf>
    <xf numFmtId="3" fontId="11" fillId="3" borderId="10" xfId="6" applyNumberFormat="1" applyFont="1" applyFill="1" applyBorder="1" applyAlignment="1">
      <alignment horizontal="right" vertical="center" wrapText="1"/>
    </xf>
    <xf numFmtId="177" fontId="11" fillId="0" borderId="1" xfId="6" applyNumberFormat="1" applyFont="1" applyBorder="1" applyAlignment="1">
      <alignment vertical="center" wrapText="1"/>
    </xf>
    <xf numFmtId="0" fontId="11" fillId="0" borderId="1" xfId="6" applyFont="1" applyBorder="1" applyAlignment="1">
      <alignment vertical="center" wrapText="1"/>
    </xf>
    <xf numFmtId="0" fontId="11" fillId="0" borderId="1" xfId="6" applyFont="1" applyBorder="1" applyAlignment="1">
      <alignment vertical="top" wrapText="1"/>
    </xf>
    <xf numFmtId="49" fontId="11" fillId="0" borderId="1" xfId="6" applyNumberFormat="1" applyFont="1" applyBorder="1" applyAlignment="1">
      <alignment vertical="center" wrapText="1"/>
    </xf>
    <xf numFmtId="0" fontId="5" fillId="0" borderId="5" xfId="6" applyFont="1" applyBorder="1" applyAlignment="1">
      <alignment horizontal="center" vertical="center" wrapText="1"/>
    </xf>
    <xf numFmtId="164" fontId="12" fillId="11" borderId="4" xfId="6" applyNumberFormat="1" applyFont="1" applyFill="1" applyBorder="1" applyAlignment="1">
      <alignment horizontal="right" vertical="center"/>
    </xf>
    <xf numFmtId="164" fontId="12" fillId="11" borderId="1" xfId="6" applyNumberFormat="1" applyFont="1" applyFill="1" applyBorder="1" applyAlignment="1">
      <alignment horizontal="left" vertical="center"/>
    </xf>
    <xf numFmtId="164" fontId="4" fillId="11" borderId="10" xfId="6" applyNumberFormat="1" applyFont="1" applyFill="1" applyBorder="1" applyAlignment="1">
      <alignment horizontal="right" vertical="center" wrapText="1"/>
    </xf>
    <xf numFmtId="164" fontId="4" fillId="11" borderId="1" xfId="6" applyNumberFormat="1" applyFont="1" applyFill="1" applyBorder="1" applyAlignment="1">
      <alignment horizontal="right" vertical="center" wrapText="1"/>
    </xf>
    <xf numFmtId="164" fontId="4" fillId="11" borderId="4" xfId="6" applyNumberFormat="1" applyFont="1" applyFill="1" applyBorder="1" applyAlignment="1">
      <alignment horizontal="right" vertical="center" wrapText="1"/>
    </xf>
    <xf numFmtId="173" fontId="11" fillId="0" borderId="4" xfId="6" applyNumberFormat="1" applyFont="1" applyFill="1" applyBorder="1" applyAlignment="1">
      <alignment horizontal="left" vertical="center"/>
    </xf>
    <xf numFmtId="164" fontId="11" fillId="0" borderId="1" xfId="6" applyNumberFormat="1" applyFont="1" applyFill="1" applyBorder="1" applyAlignment="1">
      <alignment horizontal="left" vertical="center" wrapText="1"/>
    </xf>
    <xf numFmtId="173" fontId="4" fillId="10" borderId="1" xfId="3" applyNumberFormat="1" applyFont="1" applyFill="1" applyBorder="1" applyAlignment="1">
      <alignment horizontal="right" vertical="center" wrapText="1"/>
    </xf>
    <xf numFmtId="164" fontId="5" fillId="11" borderId="10" xfId="6" applyNumberFormat="1" applyFont="1" applyFill="1" applyBorder="1" applyAlignment="1">
      <alignment horizontal="right" vertical="center" wrapText="1"/>
    </xf>
    <xf numFmtId="164" fontId="5" fillId="3" borderId="10" xfId="6" applyNumberFormat="1" applyFont="1" applyFill="1" applyBorder="1" applyAlignment="1">
      <alignment horizontal="right" vertical="center" wrapText="1"/>
    </xf>
    <xf numFmtId="177" fontId="4" fillId="3" borderId="7" xfId="6" applyNumberFormat="1" applyFont="1" applyFill="1" applyBorder="1" applyAlignment="1">
      <alignment horizontal="right" vertical="center" wrapText="1"/>
    </xf>
    <xf numFmtId="172" fontId="5" fillId="3" borderId="6" xfId="5" applyNumberFormat="1" applyFont="1" applyFill="1" applyBorder="1" applyAlignment="1">
      <alignment horizontal="right" vertical="center" wrapText="1"/>
    </xf>
    <xf numFmtId="164" fontId="20" fillId="3" borderId="3" xfId="6" applyNumberFormat="1" applyFont="1" applyFill="1" applyBorder="1" applyAlignment="1">
      <alignment horizontal="right" vertical="center" wrapText="1"/>
    </xf>
    <xf numFmtId="0" fontId="20" fillId="3" borderId="1" xfId="6" applyNumberFormat="1" applyFont="1" applyFill="1" applyBorder="1" applyAlignment="1">
      <alignment horizontal="justify" vertical="center" wrapText="1"/>
    </xf>
    <xf numFmtId="164" fontId="5" fillId="0" borderId="10" xfId="6" applyNumberFormat="1" applyFont="1" applyBorder="1" applyAlignment="1">
      <alignment horizontal="right" vertical="center" wrapText="1"/>
    </xf>
    <xf numFmtId="164" fontId="12" fillId="11" borderId="3" xfId="6" applyNumberFormat="1" applyFont="1" applyFill="1" applyBorder="1" applyAlignment="1">
      <alignment horizontal="right" vertical="center" wrapText="1"/>
    </xf>
    <xf numFmtId="172" fontId="4" fillId="3" borderId="7" xfId="5" applyNumberFormat="1" applyFont="1" applyFill="1" applyBorder="1" applyAlignment="1">
      <alignment horizontal="right" vertical="center" wrapText="1"/>
    </xf>
    <xf numFmtId="172" fontId="5" fillId="3" borderId="3" xfId="5" applyNumberFormat="1" applyFont="1" applyFill="1" applyBorder="1" applyAlignment="1">
      <alignment horizontal="right" vertical="center" wrapText="1"/>
    </xf>
    <xf numFmtId="172" fontId="11" fillId="3" borderId="3" xfId="5" applyNumberFormat="1" applyFont="1" applyFill="1" applyBorder="1" applyAlignment="1">
      <alignment horizontal="right" vertical="center" wrapText="1"/>
    </xf>
    <xf numFmtId="172" fontId="11" fillId="3" borderId="6" xfId="5" applyNumberFormat="1" applyFont="1" applyFill="1" applyBorder="1" applyAlignment="1">
      <alignment horizontal="right" vertical="center"/>
    </xf>
    <xf numFmtId="164" fontId="5" fillId="3" borderId="3" xfId="6" applyNumberFormat="1" applyFont="1" applyFill="1" applyBorder="1" applyAlignment="1">
      <alignment horizontal="right" vertical="center" wrapText="1"/>
    </xf>
    <xf numFmtId="16" fontId="11" fillId="0" borderId="1" xfId="6" applyNumberFormat="1" applyFont="1" applyBorder="1" applyAlignment="1">
      <alignment horizontal="center" vertical="center" wrapText="1"/>
    </xf>
    <xf numFmtId="0" fontId="5" fillId="0" borderId="1" xfId="6" applyNumberFormat="1" applyFont="1" applyBorder="1" applyAlignment="1">
      <alignment horizontal="justify" vertical="center" wrapText="1"/>
    </xf>
    <xf numFmtId="177" fontId="12" fillId="10" borderId="1" xfId="6" applyNumberFormat="1" applyFont="1" applyFill="1" applyBorder="1" applyAlignment="1">
      <alignment horizontal="right" vertical="center" wrapText="1"/>
    </xf>
    <xf numFmtId="177" fontId="4" fillId="3" borderId="4" xfId="6" applyNumberFormat="1" applyFont="1" applyFill="1" applyBorder="1" applyAlignment="1">
      <alignment horizontal="right" vertical="center" wrapText="1"/>
    </xf>
    <xf numFmtId="173" fontId="5" fillId="3" borderId="1" xfId="3" applyNumberFormat="1" applyFont="1" applyFill="1" applyBorder="1" applyAlignment="1">
      <alignment horizontal="center" vertical="center" wrapText="1"/>
    </xf>
    <xf numFmtId="0" fontId="11" fillId="3" borderId="1" xfId="6" applyFont="1" applyFill="1" applyBorder="1" applyAlignment="1">
      <alignment horizontal="center" vertical="center"/>
    </xf>
    <xf numFmtId="173" fontId="5" fillId="3" borderId="1" xfId="3" applyNumberFormat="1" applyFont="1" applyFill="1" applyBorder="1" applyAlignment="1">
      <alignment vertical="center" wrapText="1"/>
    </xf>
    <xf numFmtId="173" fontId="5" fillId="3" borderId="3" xfId="3" applyNumberFormat="1" applyFont="1" applyFill="1" applyBorder="1" applyAlignment="1">
      <alignment horizontal="center" vertical="center" wrapText="1"/>
    </xf>
    <xf numFmtId="173" fontId="5" fillId="3" borderId="3" xfId="3" applyNumberFormat="1" applyFont="1" applyFill="1" applyBorder="1" applyAlignment="1">
      <alignment vertical="center" wrapText="1"/>
    </xf>
    <xf numFmtId="177" fontId="11" fillId="3" borderId="8" xfId="6" applyNumberFormat="1" applyFont="1" applyFill="1" applyBorder="1" applyAlignment="1">
      <alignment horizontal="right" vertical="center"/>
    </xf>
    <xf numFmtId="177" fontId="5" fillId="3" borderId="1" xfId="6" applyNumberFormat="1" applyFont="1" applyFill="1" applyBorder="1" applyAlignment="1">
      <alignment horizontal="right" vertical="center" wrapText="1"/>
    </xf>
    <xf numFmtId="164" fontId="11" fillId="0" borderId="1" xfId="6" applyNumberFormat="1" applyFont="1" applyBorder="1" applyAlignment="1">
      <alignment horizontal="right" vertical="center" wrapText="1"/>
    </xf>
    <xf numFmtId="0" fontId="11" fillId="0" borderId="10" xfId="6" applyFont="1" applyFill="1" applyBorder="1" applyAlignment="1">
      <alignment horizontal="center" vertical="center" wrapText="1"/>
    </xf>
    <xf numFmtId="177" fontId="11" fillId="3" borderId="8" xfId="6" applyNumberFormat="1" applyFont="1" applyFill="1" applyBorder="1" applyAlignment="1">
      <alignment horizontal="left" vertical="center"/>
    </xf>
    <xf numFmtId="0" fontId="11" fillId="0" borderId="9" xfId="6" applyFont="1" applyFill="1" applyBorder="1" applyAlignment="1">
      <alignment horizontal="center" vertical="center" wrapText="1"/>
    </xf>
    <xf numFmtId="177" fontId="5" fillId="12" borderId="1" xfId="6" applyNumberFormat="1" applyFont="1" applyFill="1" applyBorder="1" applyAlignment="1">
      <alignment horizontal="left" vertical="center" wrapText="1"/>
    </xf>
    <xf numFmtId="177" fontId="5" fillId="12" borderId="5" xfId="6" applyNumberFormat="1" applyFont="1" applyFill="1" applyBorder="1" applyAlignment="1">
      <alignment horizontal="left" vertical="center" wrapText="1"/>
    </xf>
    <xf numFmtId="177" fontId="5" fillId="11" borderId="7" xfId="6" applyNumberFormat="1" applyFont="1" applyFill="1" applyBorder="1" applyAlignment="1">
      <alignment horizontal="center" vertical="center" wrapText="1"/>
    </xf>
    <xf numFmtId="177" fontId="5" fillId="11" borderId="3" xfId="6" applyNumberFormat="1" applyFont="1" applyFill="1" applyBorder="1" applyAlignment="1">
      <alignment horizontal="center" vertical="center" wrapText="1"/>
    </xf>
    <xf numFmtId="177" fontId="5" fillId="11" borderId="3" xfId="6" applyNumberFormat="1" applyFont="1" applyFill="1" applyBorder="1" applyAlignment="1">
      <alignment horizontal="left" vertical="center" wrapText="1"/>
    </xf>
    <xf numFmtId="3" fontId="5" fillId="11" borderId="3" xfId="6"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0" borderId="0" xfId="3" applyNumberFormat="1" applyFont="1" applyFill="1" applyBorder="1" applyAlignment="1">
      <alignment vertical="center" wrapText="1"/>
    </xf>
    <xf numFmtId="173" fontId="4" fillId="0" borderId="0" xfId="3" applyNumberFormat="1" applyFont="1" applyFill="1" applyBorder="1" applyAlignment="1">
      <alignment horizontal="left" vertical="center" wrapText="1"/>
    </xf>
    <xf numFmtId="0" fontId="12" fillId="0" borderId="0" xfId="6" applyFont="1" applyBorder="1" applyAlignment="1">
      <alignment horizontal="left" vertical="center"/>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left" vertical="center" wrapText="1"/>
    </xf>
    <xf numFmtId="166" fontId="5" fillId="0" borderId="0" xfId="4" applyFont="1" applyFill="1" applyBorder="1" applyAlignment="1">
      <alignment vertical="center" wrapText="1"/>
    </xf>
    <xf numFmtId="166" fontId="11" fillId="0" borderId="0" xfId="4" applyFont="1" applyBorder="1" applyAlignment="1">
      <alignment vertical="center"/>
    </xf>
    <xf numFmtId="166" fontId="12" fillId="0" borderId="0" xfId="4" applyFont="1" applyBorder="1" applyAlignment="1">
      <alignment vertical="center"/>
    </xf>
    <xf numFmtId="0" fontId="12" fillId="0" borderId="0" xfId="6" applyFont="1" applyBorder="1" applyAlignment="1">
      <alignment vertical="center"/>
    </xf>
    <xf numFmtId="173" fontId="4" fillId="0" borderId="0" xfId="3" applyNumberFormat="1" applyFont="1" applyFill="1" applyBorder="1" applyAlignment="1">
      <alignment vertical="center" wrapText="1"/>
    </xf>
    <xf numFmtId="166" fontId="4" fillId="0" borderId="0" xfId="4" applyFont="1" applyFill="1" applyBorder="1" applyAlignment="1">
      <alignment vertical="center" wrapText="1"/>
    </xf>
    <xf numFmtId="166" fontId="11" fillId="0" borderId="0" xfId="4" applyFont="1" applyFill="1" applyAlignment="1">
      <alignment horizontal="center" vertical="center"/>
    </xf>
    <xf numFmtId="0" fontId="12" fillId="7" borderId="0" xfId="6" applyFont="1" applyFill="1" applyBorder="1" applyAlignment="1">
      <alignment horizontal="center" vertical="center" wrapText="1"/>
    </xf>
    <xf numFmtId="171" fontId="11" fillId="0" borderId="0" xfId="2" applyNumberFormat="1" applyFont="1" applyBorder="1" applyAlignment="1" applyProtection="1">
      <alignment vertical="center" wrapText="1"/>
    </xf>
    <xf numFmtId="0" fontId="20" fillId="25" borderId="0" xfId="0" applyFont="1" applyFill="1" applyBorder="1" applyAlignment="1">
      <alignment vertical="center"/>
    </xf>
    <xf numFmtId="0" fontId="26" fillId="0" borderId="0" xfId="0" applyFont="1"/>
    <xf numFmtId="0" fontId="25" fillId="22" borderId="0" xfId="0" applyFont="1" applyFill="1" applyBorder="1" applyAlignment="1">
      <alignment horizontal="center" vertical="center" wrapText="1"/>
    </xf>
    <xf numFmtId="169" fontId="25" fillId="22" borderId="0" xfId="8" applyNumberFormat="1" applyFont="1" applyFill="1" applyBorder="1" applyAlignment="1" applyProtection="1">
      <alignment horizontal="center" vertical="center"/>
    </xf>
    <xf numFmtId="169" fontId="24" fillId="29" borderId="1" xfId="0" applyNumberFormat="1" applyFont="1" applyFill="1" applyBorder="1" applyAlignment="1">
      <alignment horizontal="center" vertical="center" wrapText="1"/>
    </xf>
    <xf numFmtId="0" fontId="26" fillId="0" borderId="1" xfId="0" applyFont="1" applyBorder="1"/>
    <xf numFmtId="169" fontId="27" fillId="15" borderId="5" xfId="8" applyFont="1" applyFill="1" applyBorder="1" applyAlignment="1" applyProtection="1">
      <alignment horizontal="left" vertical="center" wrapText="1"/>
    </xf>
    <xf numFmtId="169" fontId="27" fillId="15" borderId="1" xfId="8" applyFont="1" applyFill="1" applyBorder="1" applyAlignment="1" applyProtection="1">
      <alignment horizontal="left" vertical="center" wrapText="1"/>
    </xf>
    <xf numFmtId="0" fontId="26" fillId="0" borderId="3" xfId="0" applyFont="1" applyBorder="1"/>
    <xf numFmtId="169" fontId="22" fillId="0" borderId="1" xfId="8" applyNumberFormat="1" applyFont="1" applyBorder="1" applyAlignment="1" applyProtection="1">
      <alignment horizontal="left" vertical="center"/>
    </xf>
    <xf numFmtId="0" fontId="5" fillId="0" borderId="4" xfId="0" applyFont="1" applyFill="1" applyBorder="1" applyAlignment="1">
      <alignment vertical="center"/>
    </xf>
    <xf numFmtId="0" fontId="5" fillId="0" borderId="18" xfId="0" applyFont="1" applyFill="1" applyBorder="1" applyAlignment="1">
      <alignment vertical="center"/>
    </xf>
    <xf numFmtId="0" fontId="5" fillId="0" borderId="8" xfId="0" applyFont="1" applyFill="1" applyBorder="1" applyAlignment="1">
      <alignment vertical="center"/>
    </xf>
    <xf numFmtId="169" fontId="29" fillId="23" borderId="1" xfId="8" applyNumberFormat="1" applyFont="1" applyFill="1" applyBorder="1" applyAlignment="1" applyProtection="1">
      <alignment horizontal="center" vertical="center" wrapText="1"/>
    </xf>
    <xf numFmtId="169" fontId="24" fillId="27" borderId="1" xfId="8" applyNumberFormat="1" applyFont="1" applyFill="1" applyBorder="1" applyAlignment="1" applyProtection="1">
      <alignment horizontal="center" vertical="center" wrapText="1"/>
    </xf>
    <xf numFmtId="0" fontId="30" fillId="3" borderId="1" xfId="0" applyFont="1" applyFill="1" applyBorder="1" applyAlignment="1">
      <alignment horizontal="left" vertical="center" wrapText="1"/>
    </xf>
    <xf numFmtId="169" fontId="26" fillId="0" borderId="0" xfId="0" applyNumberFormat="1" applyFont="1"/>
    <xf numFmtId="0" fontId="26" fillId="0" borderId="0" xfId="0" applyFont="1" applyAlignment="1"/>
    <xf numFmtId="169" fontId="26" fillId="0" borderId="0" xfId="0" applyNumberFormat="1" applyFont="1" applyAlignment="1"/>
    <xf numFmtId="171" fontId="26" fillId="0" borderId="0" xfId="0" applyNumberFormat="1" applyFont="1" applyAlignment="1"/>
    <xf numFmtId="170" fontId="3" fillId="0" borderId="0" xfId="2"/>
    <xf numFmtId="0" fontId="27" fillId="15" borderId="3" xfId="0" applyFont="1" applyFill="1" applyBorder="1" applyAlignment="1">
      <alignment horizontal="left" vertical="center" wrapText="1"/>
    </xf>
    <xf numFmtId="0" fontId="30" fillId="3" borderId="3" xfId="0" applyFont="1" applyFill="1" applyBorder="1" applyAlignment="1">
      <alignment vertical="center" wrapText="1"/>
    </xf>
    <xf numFmtId="0" fontId="30" fillId="15" borderId="3" xfId="0" applyFont="1" applyFill="1" applyBorder="1" applyAlignment="1">
      <alignment vertical="center" wrapText="1"/>
    </xf>
    <xf numFmtId="169" fontId="30" fillId="3" borderId="1" xfId="9" applyNumberFormat="1" applyFont="1" applyFill="1" applyBorder="1" applyAlignment="1">
      <alignment vertical="center"/>
    </xf>
    <xf numFmtId="169" fontId="30" fillId="15" borderId="1" xfId="8" applyNumberFormat="1" applyFont="1" applyFill="1" applyBorder="1" applyAlignment="1" applyProtection="1">
      <alignment horizontal="center" vertical="center" wrapText="1"/>
    </xf>
    <xf numFmtId="169" fontId="33" fillId="8" borderId="1" xfId="9" applyNumberFormat="1" applyFont="1" applyFill="1" applyBorder="1" applyAlignment="1">
      <alignment vertical="center"/>
    </xf>
    <xf numFmtId="169" fontId="33" fillId="27" borderId="1" xfId="8" applyNumberFormat="1" applyFont="1" applyFill="1" applyBorder="1" applyAlignment="1" applyProtection="1">
      <alignment horizontal="center" vertical="center" wrapText="1"/>
    </xf>
    <xf numFmtId="0" fontId="30" fillId="3" borderId="5" xfId="0" applyFont="1" applyFill="1" applyBorder="1" applyAlignment="1">
      <alignment horizontal="center" vertical="center" wrapText="1"/>
    </xf>
    <xf numFmtId="169" fontId="30" fillId="3" borderId="5" xfId="9" applyNumberFormat="1" applyFont="1" applyFill="1" applyBorder="1" applyAlignment="1">
      <alignment vertical="center"/>
    </xf>
    <xf numFmtId="169" fontId="30" fillId="15" borderId="16" xfId="8" applyNumberFormat="1" applyFont="1" applyFill="1" applyBorder="1" applyAlignment="1" applyProtection="1">
      <alignment horizontal="center" vertical="center"/>
    </xf>
    <xf numFmtId="169" fontId="30" fillId="15" borderId="16" xfId="8" applyNumberFormat="1" applyFont="1" applyFill="1" applyBorder="1" applyAlignment="1" applyProtection="1">
      <alignment horizontal="center" vertical="center" wrapText="1"/>
    </xf>
    <xf numFmtId="0" fontId="30" fillId="15" borderId="5" xfId="0" applyFont="1" applyFill="1" applyBorder="1" applyAlignment="1">
      <alignment horizontal="center" vertical="center" wrapText="1"/>
    </xf>
    <xf numFmtId="179" fontId="30" fillId="15" borderId="1" xfId="9" applyNumberFormat="1" applyFont="1" applyFill="1" applyBorder="1" applyAlignment="1">
      <alignment vertical="center" wrapText="1"/>
    </xf>
    <xf numFmtId="169" fontId="30" fillId="15" borderId="10" xfId="8" applyNumberFormat="1" applyFont="1" applyFill="1" applyBorder="1" applyAlignment="1" applyProtection="1">
      <alignment horizontal="center" vertical="center" wrapText="1"/>
    </xf>
    <xf numFmtId="169" fontId="33" fillId="11" borderId="1" xfId="9" applyNumberFormat="1" applyFont="1" applyFill="1" applyBorder="1" applyAlignment="1">
      <alignment vertical="center"/>
    </xf>
    <xf numFmtId="169" fontId="39" fillId="27" borderId="1" xfId="8" applyNumberFormat="1" applyFont="1" applyFill="1" applyBorder="1" applyAlignment="1" applyProtection="1">
      <alignment horizontal="center" vertical="center" wrapText="1"/>
    </xf>
    <xf numFmtId="169" fontId="33" fillId="21" borderId="10" xfId="9" applyNumberFormat="1" applyFont="1" applyFill="1" applyBorder="1" applyAlignment="1">
      <alignment vertical="center"/>
    </xf>
    <xf numFmtId="0" fontId="33" fillId="3" borderId="1" xfId="0" applyFont="1" applyFill="1" applyBorder="1" applyAlignment="1">
      <alignment vertical="center" wrapText="1"/>
    </xf>
    <xf numFmtId="169" fontId="30" fillId="0" borderId="1" xfId="9" applyNumberFormat="1" applyFont="1" applyFill="1" applyBorder="1" applyAlignment="1">
      <alignment vertical="center"/>
    </xf>
    <xf numFmtId="0" fontId="33" fillId="8" borderId="0" xfId="0" applyFont="1" applyFill="1" applyBorder="1" applyAlignment="1">
      <alignment vertical="center" wrapText="1"/>
    </xf>
    <xf numFmtId="169" fontId="32" fillId="3" borderId="1" xfId="9" applyNumberFormat="1" applyFont="1" applyFill="1" applyBorder="1" applyAlignment="1">
      <alignment vertical="center"/>
    </xf>
    <xf numFmtId="0" fontId="33" fillId="8" borderId="18" xfId="0" applyFont="1" applyFill="1" applyBorder="1" applyAlignment="1">
      <alignment vertical="center" wrapText="1"/>
    </xf>
    <xf numFmtId="0" fontId="30" fillId="15" borderId="6" xfId="0" applyFont="1" applyFill="1" applyBorder="1" applyAlignment="1">
      <alignment horizontal="center" vertical="center" wrapText="1"/>
    </xf>
    <xf numFmtId="169" fontId="30" fillId="0" borderId="10" xfId="8" applyNumberFormat="1" applyFont="1" applyFill="1" applyBorder="1" applyAlignment="1" applyProtection="1">
      <alignment horizontal="center" vertical="center" wrapText="1"/>
    </xf>
    <xf numFmtId="169" fontId="39" fillId="24" borderId="1" xfId="8" applyNumberFormat="1" applyFont="1" applyFill="1" applyBorder="1" applyAlignment="1" applyProtection="1">
      <alignment horizontal="center" vertical="center"/>
    </xf>
    <xf numFmtId="169" fontId="39" fillId="29" borderId="1" xfId="0" applyNumberFormat="1" applyFont="1" applyFill="1" applyBorder="1" applyAlignment="1">
      <alignment horizontal="center" vertical="center" wrapText="1"/>
    </xf>
    <xf numFmtId="0" fontId="41" fillId="0" borderId="1" xfId="0" applyFont="1" applyBorder="1"/>
    <xf numFmtId="169" fontId="33" fillId="28" borderId="1" xfId="8" applyFont="1" applyFill="1" applyBorder="1" applyAlignment="1" applyProtection="1">
      <alignment horizontal="left" vertical="center"/>
    </xf>
    <xf numFmtId="169" fontId="33" fillId="16" borderId="1" xfId="8" applyFont="1" applyFill="1" applyBorder="1" applyAlignment="1" applyProtection="1">
      <alignment horizontal="left" vertical="center" wrapText="1"/>
    </xf>
    <xf numFmtId="0" fontId="41" fillId="0" borderId="0" xfId="0" applyFont="1"/>
    <xf numFmtId="169" fontId="33" fillId="2" borderId="21" xfId="8" applyFont="1" applyFill="1" applyBorder="1" applyAlignment="1" applyProtection="1">
      <alignment horizontal="left" vertical="center"/>
    </xf>
    <xf numFmtId="169" fontId="33" fillId="26" borderId="17" xfId="8" applyNumberFormat="1" applyFont="1" applyFill="1" applyBorder="1" applyAlignment="1" applyProtection="1">
      <alignment horizontal="center" vertical="center" wrapText="1"/>
    </xf>
    <xf numFmtId="169" fontId="33" fillId="26" borderId="1" xfId="0" applyNumberFormat="1" applyFont="1" applyFill="1" applyBorder="1" applyAlignment="1">
      <alignment vertical="center" wrapText="1"/>
    </xf>
    <xf numFmtId="169" fontId="33" fillId="26" borderId="3" xfId="0" applyNumberFormat="1" applyFont="1" applyFill="1" applyBorder="1" applyAlignment="1">
      <alignment vertical="center" wrapText="1"/>
    </xf>
    <xf numFmtId="169" fontId="25" fillId="26" borderId="1" xfId="8" applyFont="1" applyFill="1" applyBorder="1" applyAlignment="1" applyProtection="1">
      <alignment horizontal="left" vertical="center" wrapText="1"/>
    </xf>
    <xf numFmtId="0" fontId="30" fillId="15" borderId="1" xfId="0" applyFont="1" applyFill="1" applyBorder="1" applyAlignment="1">
      <alignment horizontal="left" vertical="center" wrapText="1"/>
    </xf>
    <xf numFmtId="169" fontId="24" fillId="29" borderId="0" xfId="0" applyNumberFormat="1" applyFont="1" applyFill="1" applyBorder="1" applyAlignment="1">
      <alignment horizontal="center" vertical="center" wrapText="1"/>
    </xf>
    <xf numFmtId="0" fontId="26" fillId="3" borderId="0" xfId="0" applyFont="1" applyFill="1"/>
    <xf numFmtId="169" fontId="28" fillId="26" borderId="1" xfId="8" applyFont="1" applyFill="1" applyBorder="1" applyAlignment="1" applyProtection="1">
      <alignment horizontal="left" vertical="center" wrapText="1"/>
    </xf>
    <xf numFmtId="0" fontId="44" fillId="0" borderId="0" xfId="0" applyFont="1"/>
    <xf numFmtId="0" fontId="30" fillId="15" borderId="3" xfId="0" applyFont="1" applyFill="1" applyBorder="1" applyAlignment="1">
      <alignment horizontal="left" vertical="center" wrapText="1"/>
    </xf>
    <xf numFmtId="0" fontId="30" fillId="15" borderId="10" xfId="0" applyFont="1" applyFill="1" applyBorder="1" applyAlignment="1">
      <alignment horizontal="left" vertical="center" wrapText="1"/>
    </xf>
    <xf numFmtId="169" fontId="30" fillId="11" borderId="5" xfId="9" applyNumberFormat="1" applyFont="1" applyFill="1" applyBorder="1" applyAlignment="1">
      <alignment vertical="center"/>
    </xf>
    <xf numFmtId="169" fontId="30" fillId="26" borderId="1" xfId="8" applyNumberFormat="1" applyFont="1" applyFill="1" applyBorder="1" applyAlignment="1" applyProtection="1">
      <alignment horizontal="center" vertical="center"/>
    </xf>
    <xf numFmtId="169" fontId="30" fillId="26" borderId="1" xfId="8" applyNumberFormat="1" applyFont="1" applyFill="1" applyBorder="1" applyAlignment="1" applyProtection="1">
      <alignment horizontal="center" vertical="center" wrapText="1"/>
    </xf>
    <xf numFmtId="0" fontId="26" fillId="11" borderId="0" xfId="0" applyFont="1" applyFill="1"/>
    <xf numFmtId="169" fontId="30" fillId="3" borderId="6" xfId="9" applyNumberFormat="1" applyFont="1" applyFill="1" applyBorder="1" applyAlignment="1">
      <alignment vertical="center"/>
    </xf>
    <xf numFmtId="169" fontId="30" fillId="15" borderId="3" xfId="8" applyNumberFormat="1" applyFont="1" applyFill="1" applyBorder="1" applyAlignment="1" applyProtection="1">
      <alignment horizontal="center" vertical="center"/>
    </xf>
    <xf numFmtId="169" fontId="30" fillId="15" borderId="3" xfId="8" applyNumberFormat="1" applyFont="1" applyFill="1" applyBorder="1" applyAlignment="1" applyProtection="1">
      <alignment horizontal="center" vertical="center" wrapText="1"/>
    </xf>
    <xf numFmtId="0" fontId="30" fillId="15" borderId="8" xfId="0" applyFont="1" applyFill="1" applyBorder="1" applyAlignment="1">
      <alignment horizontal="center" vertical="center" wrapText="1"/>
    </xf>
    <xf numFmtId="169" fontId="30" fillId="3" borderId="8" xfId="9" applyNumberFormat="1" applyFont="1" applyFill="1" applyBorder="1" applyAlignment="1">
      <alignment vertical="center"/>
    </xf>
    <xf numFmtId="169" fontId="30" fillId="15" borderId="10" xfId="8" applyNumberFormat="1" applyFont="1" applyFill="1" applyBorder="1" applyAlignment="1" applyProtection="1">
      <alignment horizontal="center" vertical="center"/>
    </xf>
    <xf numFmtId="0" fontId="26" fillId="11" borderId="18" xfId="0" applyFont="1" applyFill="1" applyBorder="1"/>
    <xf numFmtId="0" fontId="45" fillId="25" borderId="0" xfId="0" applyFont="1" applyFill="1" applyBorder="1" applyAlignment="1">
      <alignment vertical="center"/>
    </xf>
    <xf numFmtId="169" fontId="45" fillId="25" borderId="24" xfId="0" applyNumberFormat="1" applyFont="1" applyFill="1" applyBorder="1" applyAlignment="1">
      <alignment vertical="center"/>
    </xf>
    <xf numFmtId="169" fontId="45" fillId="25" borderId="25" xfId="0" applyNumberFormat="1" applyFont="1" applyFill="1" applyBorder="1" applyAlignment="1">
      <alignment vertical="center"/>
    </xf>
    <xf numFmtId="169" fontId="45" fillId="25" borderId="0" xfId="0" applyNumberFormat="1" applyFont="1" applyFill="1" applyBorder="1" applyAlignment="1">
      <alignment vertical="center"/>
    </xf>
    <xf numFmtId="0" fontId="47" fillId="0" borderId="0" xfId="0" applyFont="1" applyAlignment="1"/>
    <xf numFmtId="14" fontId="47" fillId="0" borderId="0" xfId="0" applyNumberFormat="1" applyFont="1" applyAlignment="1"/>
    <xf numFmtId="0" fontId="48" fillId="25" borderId="25" xfId="0" applyFont="1" applyFill="1" applyBorder="1" applyAlignment="1">
      <alignment vertical="center"/>
    </xf>
    <xf numFmtId="0" fontId="48" fillId="25" borderId="0" xfId="0" applyFont="1" applyFill="1" applyBorder="1" applyAlignment="1">
      <alignment vertical="center"/>
    </xf>
    <xf numFmtId="0" fontId="48" fillId="25" borderId="0" xfId="0" applyFont="1" applyFill="1" applyBorder="1" applyAlignment="1">
      <alignment horizontal="center" vertical="center"/>
    </xf>
    <xf numFmtId="169" fontId="48" fillId="25" borderId="25" xfId="0" applyNumberFormat="1" applyFont="1" applyFill="1" applyBorder="1" applyAlignment="1">
      <alignment horizontal="center" vertical="center"/>
    </xf>
    <xf numFmtId="169" fontId="48" fillId="25" borderId="0" xfId="0" applyNumberFormat="1" applyFont="1" applyFill="1" applyBorder="1" applyAlignment="1">
      <alignment horizontal="center" vertical="center"/>
    </xf>
    <xf numFmtId="0" fontId="45" fillId="25" borderId="0" xfId="0" applyFont="1" applyFill="1" applyBorder="1" applyAlignment="1">
      <alignment vertical="center" wrapText="1"/>
    </xf>
    <xf numFmtId="0" fontId="45" fillId="25" borderId="0" xfId="0" applyFont="1" applyFill="1" applyBorder="1" applyAlignment="1">
      <alignment horizontal="center" vertical="center"/>
    </xf>
    <xf numFmtId="169" fontId="45" fillId="25" borderId="0" xfId="0" applyNumberFormat="1" applyFont="1" applyFill="1" applyBorder="1" applyAlignment="1">
      <alignment horizontal="justify" vertical="justify"/>
    </xf>
    <xf numFmtId="169" fontId="45" fillId="25" borderId="0" xfId="0" applyNumberFormat="1" applyFont="1" applyFill="1" applyBorder="1" applyAlignment="1">
      <alignment horizontal="center" vertical="center"/>
    </xf>
    <xf numFmtId="0" fontId="45" fillId="25" borderId="18" xfId="0" applyFont="1" applyFill="1" applyBorder="1" applyAlignment="1">
      <alignment horizontal="center" vertical="center"/>
    </xf>
    <xf numFmtId="0" fontId="45" fillId="25" borderId="0"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0" xfId="0" applyFont="1" applyFill="1" applyBorder="1" applyAlignment="1">
      <alignment horizontal="left" vertical="center"/>
    </xf>
    <xf numFmtId="0" fontId="45"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45" fillId="25" borderId="4"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47" fillId="12" borderId="0" xfId="0" applyFont="1" applyFill="1" applyAlignment="1"/>
    <xf numFmtId="0" fontId="47" fillId="12" borderId="0" xfId="0" applyFont="1" applyFill="1" applyAlignment="1">
      <alignment wrapText="1"/>
    </xf>
    <xf numFmtId="173" fontId="39" fillId="11" borderId="10" xfId="2" applyNumberFormat="1" applyFont="1" applyFill="1" applyBorder="1" applyAlignment="1">
      <alignment horizontal="center" vertical="center" textRotation="90" wrapText="1" readingOrder="1"/>
    </xf>
    <xf numFmtId="173" fontId="39" fillId="11" borderId="3" xfId="2" applyNumberFormat="1" applyFont="1" applyFill="1" applyBorder="1" applyAlignment="1">
      <alignment horizontal="center" vertical="center" wrapText="1" readingOrder="1"/>
    </xf>
    <xf numFmtId="177" fontId="23" fillId="12" borderId="5"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0" fontId="51" fillId="30" borderId="3" xfId="0" applyFont="1" applyFill="1" applyBorder="1" applyAlignment="1">
      <alignment vertical="center" wrapText="1"/>
    </xf>
    <xf numFmtId="0" fontId="51" fillId="30"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2" fillId="3" borderId="1" xfId="0" applyFont="1" applyFill="1" applyBorder="1" applyAlignment="1">
      <alignment horizontal="center" vertical="center" wrapText="1"/>
    </xf>
    <xf numFmtId="0" fontId="52" fillId="3" borderId="1" xfId="663" applyFont="1" applyFill="1" applyBorder="1" applyAlignment="1">
      <alignment horizontal="center" vertical="center"/>
    </xf>
    <xf numFmtId="169" fontId="51" fillId="3" borderId="1" xfId="0" applyNumberFormat="1" applyFont="1" applyFill="1" applyBorder="1" applyAlignment="1">
      <alignment horizontal="center" vertical="center" wrapText="1"/>
    </xf>
    <xf numFmtId="3" fontId="51" fillId="30" borderId="1" xfId="0" applyNumberFormat="1" applyFont="1" applyFill="1" applyBorder="1" applyAlignment="1">
      <alignment vertical="center" wrapText="1"/>
    </xf>
    <xf numFmtId="3" fontId="51" fillId="30" borderId="1" xfId="0" applyNumberFormat="1" applyFont="1" applyFill="1" applyBorder="1" applyAlignment="1">
      <alignment horizontal="center" vertical="center" wrapText="1"/>
    </xf>
    <xf numFmtId="14" fontId="47" fillId="0" borderId="1" xfId="0" applyNumberFormat="1" applyFont="1" applyBorder="1" applyAlignment="1">
      <alignment vertical="center"/>
    </xf>
    <xf numFmtId="0" fontId="47" fillId="0" borderId="1" xfId="0" applyFont="1" applyBorder="1" applyAlignment="1">
      <alignment vertical="center"/>
    </xf>
    <xf numFmtId="0" fontId="47" fillId="0" borderId="1" xfId="0" applyFont="1" applyBorder="1" applyAlignment="1"/>
    <xf numFmtId="3" fontId="47" fillId="0" borderId="0" xfId="0" applyNumberFormat="1" applyFont="1" applyAlignment="1"/>
    <xf numFmtId="0" fontId="53" fillId="31" borderId="1" xfId="0" applyFont="1" applyFill="1" applyBorder="1" applyAlignment="1">
      <alignment horizontal="center" vertical="center" wrapText="1"/>
    </xf>
    <xf numFmtId="3" fontId="46" fillId="32" borderId="1" xfId="8" applyNumberFormat="1" applyFont="1" applyFill="1" applyBorder="1" applyAlignment="1" applyProtection="1">
      <alignment horizontal="right" vertical="center" wrapText="1"/>
    </xf>
    <xf numFmtId="3" fontId="46" fillId="32" borderId="1" xfId="8" applyNumberFormat="1" applyFont="1" applyFill="1" applyBorder="1" applyAlignment="1" applyProtection="1">
      <alignment horizontal="center" vertical="center" wrapText="1"/>
    </xf>
    <xf numFmtId="14" fontId="46" fillId="32" borderId="1" xfId="8" applyNumberFormat="1" applyFont="1" applyFill="1" applyBorder="1" applyAlignment="1" applyProtection="1">
      <alignment horizontal="right" vertical="center" wrapText="1"/>
    </xf>
    <xf numFmtId="0" fontId="47" fillId="12" borderId="1" xfId="0" applyFont="1" applyFill="1" applyBorder="1" applyAlignment="1"/>
    <xf numFmtId="171" fontId="3" fillId="8" borderId="1" xfId="2" applyNumberFormat="1" applyFill="1" applyBorder="1"/>
    <xf numFmtId="171" fontId="47" fillId="12" borderId="1" xfId="0" applyNumberFormat="1" applyFont="1" applyFill="1" applyBorder="1" applyAlignment="1"/>
    <xf numFmtId="0" fontId="53" fillId="33" borderId="1" xfId="0" applyFont="1" applyFill="1" applyBorder="1" applyAlignment="1">
      <alignment horizontal="center" vertical="center" wrapText="1"/>
    </xf>
    <xf numFmtId="3" fontId="53" fillId="33" borderId="1" xfId="0" applyNumberFormat="1" applyFont="1" applyFill="1" applyBorder="1" applyAlignment="1">
      <alignment vertical="center" wrapText="1"/>
    </xf>
    <xf numFmtId="3" fontId="53" fillId="33" borderId="1" xfId="0" applyNumberFormat="1" applyFont="1" applyFill="1" applyBorder="1" applyAlignment="1">
      <alignment horizontal="center" vertical="center" wrapText="1"/>
    </xf>
    <xf numFmtId="14" fontId="53" fillId="33" borderId="1" xfId="0" applyNumberFormat="1" applyFont="1" applyFill="1" applyBorder="1" applyAlignment="1">
      <alignment vertical="center" wrapText="1"/>
    </xf>
    <xf numFmtId="0" fontId="47" fillId="8" borderId="1" xfId="0" applyFont="1" applyFill="1" applyBorder="1" applyAlignment="1"/>
    <xf numFmtId="0" fontId="54" fillId="3" borderId="1" xfId="1308" applyFill="1" applyBorder="1" applyAlignment="1">
      <alignment horizontal="center" vertical="center" wrapText="1"/>
    </xf>
    <xf numFmtId="3" fontId="52" fillId="3" borderId="1" xfId="9" applyNumberFormat="1" applyFont="1" applyFill="1" applyBorder="1" applyAlignment="1">
      <alignment vertical="center"/>
    </xf>
    <xf numFmtId="14" fontId="47" fillId="0" borderId="1" xfId="0" applyNumberFormat="1" applyFont="1" applyBorder="1" applyAlignment="1">
      <alignment horizontal="left" vertical="center"/>
    </xf>
    <xf numFmtId="0" fontId="47" fillId="0" borderId="1" xfId="0" applyFont="1" applyBorder="1" applyAlignment="1">
      <alignment horizontal="center"/>
    </xf>
    <xf numFmtId="0" fontId="51" fillId="34" borderId="1" xfId="0" applyFont="1" applyFill="1" applyBorder="1" applyAlignment="1">
      <alignment horizontal="left" vertical="center" wrapText="1"/>
    </xf>
    <xf numFmtId="14" fontId="47" fillId="0" borderId="1" xfId="0" applyNumberFormat="1" applyFont="1" applyBorder="1" applyAlignment="1"/>
    <xf numFmtId="0" fontId="52" fillId="3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169" fontId="52" fillId="3" borderId="1" xfId="0" applyNumberFormat="1" applyFont="1" applyFill="1" applyBorder="1" applyAlignment="1">
      <alignment horizontal="center" vertical="center" wrapText="1"/>
    </xf>
    <xf numFmtId="0" fontId="47" fillId="3" borderId="1" xfId="0" applyFont="1" applyFill="1" applyBorder="1" applyAlignment="1"/>
    <xf numFmtId="171" fontId="47" fillId="8" borderId="1" xfId="0" applyNumberFormat="1" applyFont="1" applyFill="1" applyBorder="1" applyAlignment="1"/>
    <xf numFmtId="0" fontId="52" fillId="35" borderId="1" xfId="0" applyFont="1" applyFill="1" applyBorder="1" applyAlignment="1">
      <alignment horizontal="center" vertical="center" wrapText="1"/>
    </xf>
    <xf numFmtId="0" fontId="51" fillId="34"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xf>
    <xf numFmtId="3" fontId="51" fillId="34" borderId="1" xfId="0" applyNumberFormat="1" applyFont="1" applyFill="1" applyBorder="1" applyAlignment="1">
      <alignment horizontal="center" vertical="center"/>
    </xf>
    <xf numFmtId="14" fontId="51" fillId="34" borderId="1" xfId="0" applyNumberFormat="1" applyFont="1" applyFill="1" applyBorder="1" applyAlignment="1">
      <alignment horizontal="right" vertical="center"/>
    </xf>
    <xf numFmtId="0" fontId="53" fillId="31" borderId="5" xfId="0" applyFont="1" applyFill="1" applyBorder="1" applyAlignment="1">
      <alignment horizontal="center" vertical="center" wrapText="1"/>
    </xf>
    <xf numFmtId="3" fontId="53" fillId="31" borderId="1" xfId="0" applyNumberFormat="1" applyFont="1" applyFill="1" applyBorder="1" applyAlignment="1">
      <alignment horizontal="right" vertical="center"/>
    </xf>
    <xf numFmtId="3" fontId="53" fillId="31" borderId="1" xfId="0" applyNumberFormat="1" applyFont="1" applyFill="1" applyBorder="1" applyAlignment="1">
      <alignment horizontal="center" vertical="center"/>
    </xf>
    <xf numFmtId="14" fontId="53" fillId="31" borderId="1" xfId="0" applyNumberFormat="1" applyFont="1" applyFill="1" applyBorder="1" applyAlignment="1">
      <alignment horizontal="right" vertical="center"/>
    </xf>
    <xf numFmtId="0" fontId="51" fillId="34" borderId="5" xfId="0" applyFont="1" applyFill="1" applyBorder="1" applyAlignment="1">
      <alignment horizontal="center" vertical="center" wrapText="1"/>
    </xf>
    <xf numFmtId="177" fontId="5" fillId="0" borderId="1" xfId="0" applyNumberFormat="1" applyFont="1" applyBorder="1" applyAlignment="1">
      <alignment vertical="center" wrapText="1"/>
    </xf>
    <xf numFmtId="0" fontId="52" fillId="30" borderId="3" xfId="0" applyFont="1" applyFill="1" applyBorder="1" applyAlignment="1">
      <alignment vertical="center" wrapText="1"/>
    </xf>
    <xf numFmtId="0" fontId="52" fillId="3" borderId="3" xfId="0" applyFont="1" applyFill="1" applyBorder="1" applyAlignment="1">
      <alignment horizontal="center" vertical="center" wrapText="1"/>
    </xf>
    <xf numFmtId="3" fontId="51" fillId="34" borderId="1" xfId="0" applyNumberFormat="1" applyFont="1" applyFill="1" applyBorder="1" applyAlignment="1">
      <alignment horizontal="left" vertical="center" wrapText="1"/>
    </xf>
    <xf numFmtId="171" fontId="55" fillId="12" borderId="1" xfId="2" applyNumberFormat="1" applyFont="1" applyFill="1" applyBorder="1"/>
    <xf numFmtId="171" fontId="3" fillId="12" borderId="1" xfId="2" applyNumberFormat="1" applyFill="1" applyBorder="1"/>
    <xf numFmtId="0" fontId="51" fillId="33" borderId="1" xfId="0" applyFont="1" applyFill="1" applyBorder="1" applyAlignment="1">
      <alignment horizontal="center" vertical="center" wrapText="1"/>
    </xf>
    <xf numFmtId="3" fontId="53" fillId="37" borderId="1" xfId="0" applyNumberFormat="1" applyFont="1" applyFill="1" applyBorder="1" applyAlignment="1">
      <alignment horizontal="right" vertical="center"/>
    </xf>
    <xf numFmtId="3" fontId="53" fillId="37" borderId="1" xfId="0" applyNumberFormat="1" applyFont="1" applyFill="1" applyBorder="1" applyAlignment="1">
      <alignment horizontal="center" vertical="center"/>
    </xf>
    <xf numFmtId="14" fontId="53" fillId="37" borderId="1" xfId="0" applyNumberFormat="1" applyFont="1" applyFill="1" applyBorder="1" applyAlignment="1">
      <alignment horizontal="right" vertical="center"/>
    </xf>
    <xf numFmtId="0" fontId="51" fillId="3" borderId="3" xfId="0" applyFont="1" applyFill="1" applyBorder="1" applyAlignment="1">
      <alignment vertical="center" wrapText="1"/>
    </xf>
    <xf numFmtId="179" fontId="52" fillId="3" borderId="1" xfId="664" applyNumberFormat="1" applyFont="1" applyFill="1" applyBorder="1" applyAlignment="1">
      <alignment horizontal="center" vertical="center" wrapText="1"/>
    </xf>
    <xf numFmtId="3" fontId="51" fillId="3" borderId="1" xfId="0" applyNumberFormat="1" applyFont="1" applyFill="1" applyBorder="1" applyAlignment="1">
      <alignment horizontal="right" vertical="center"/>
    </xf>
    <xf numFmtId="3" fontId="53" fillId="3" borderId="1" xfId="0" applyNumberFormat="1" applyFont="1" applyFill="1" applyBorder="1" applyAlignment="1">
      <alignment horizontal="right" vertical="center" wrapText="1"/>
    </xf>
    <xf numFmtId="3" fontId="51" fillId="3" borderId="1" xfId="0" applyNumberFormat="1" applyFont="1" applyFill="1" applyBorder="1" applyAlignment="1">
      <alignment horizontal="center" vertical="center" wrapText="1"/>
    </xf>
    <xf numFmtId="3" fontId="52" fillId="3" borderId="1" xfId="9" applyNumberFormat="1" applyFont="1" applyFill="1" applyBorder="1" applyAlignment="1">
      <alignment horizontal="right" vertical="center"/>
    </xf>
    <xf numFmtId="0" fontId="52" fillId="0" borderId="1" xfId="663" applyFont="1" applyFill="1" applyBorder="1" applyAlignment="1">
      <alignment horizontal="center" vertical="center"/>
    </xf>
    <xf numFmtId="169" fontId="51" fillId="0" borderId="1" xfId="0" applyNumberFormat="1" applyFont="1" applyFill="1" applyBorder="1" applyAlignment="1">
      <alignment horizontal="center" vertical="center" wrapText="1"/>
    </xf>
    <xf numFmtId="3" fontId="52" fillId="0" borderId="1" xfId="9" applyNumberFormat="1" applyFont="1" applyFill="1" applyBorder="1" applyAlignment="1">
      <alignment horizontal="right" vertical="center"/>
    </xf>
    <xf numFmtId="0" fontId="53" fillId="8" borderId="1" xfId="0" applyFont="1" applyFill="1" applyBorder="1" applyAlignment="1">
      <alignment horizontal="center" vertical="center" wrapText="1"/>
    </xf>
    <xf numFmtId="3" fontId="53" fillId="39" borderId="1" xfId="0" applyNumberFormat="1" applyFont="1" applyFill="1" applyBorder="1" applyAlignment="1">
      <alignment horizontal="right" vertical="center" wrapText="1"/>
    </xf>
    <xf numFmtId="3" fontId="53" fillId="39" borderId="1" xfId="0" applyNumberFormat="1" applyFont="1" applyFill="1" applyBorder="1" applyAlignment="1">
      <alignment horizontal="center" vertical="center" wrapText="1"/>
    </xf>
    <xf numFmtId="14" fontId="53" fillId="39" borderId="1" xfId="0" applyNumberFormat="1" applyFont="1" applyFill="1" applyBorder="1" applyAlignment="1">
      <alignment horizontal="right" vertical="center" wrapText="1"/>
    </xf>
    <xf numFmtId="0" fontId="48" fillId="40" borderId="1" xfId="0" applyFont="1" applyFill="1" applyBorder="1" applyAlignment="1">
      <alignment horizontal="center" vertical="center"/>
    </xf>
    <xf numFmtId="3" fontId="48" fillId="40" borderId="1" xfId="0" applyNumberFormat="1" applyFont="1" applyFill="1" applyBorder="1" applyAlignment="1">
      <alignment horizontal="right" vertical="center"/>
    </xf>
    <xf numFmtId="14" fontId="48" fillId="40" borderId="1" xfId="0" applyNumberFormat="1" applyFont="1" applyFill="1" applyBorder="1" applyAlignment="1">
      <alignment horizontal="right" vertical="center"/>
    </xf>
    <xf numFmtId="0" fontId="52" fillId="3" borderId="1" xfId="663" applyFont="1" applyFill="1" applyBorder="1" applyAlignment="1">
      <alignment horizontal="center" vertical="center" wrapText="1"/>
    </xf>
    <xf numFmtId="3" fontId="51" fillId="0" borderId="1" xfId="0" applyNumberFormat="1" applyFont="1" applyFill="1" applyBorder="1" applyAlignment="1">
      <alignment horizontal="right" vertical="center"/>
    </xf>
    <xf numFmtId="14" fontId="52" fillId="3" borderId="1" xfId="9" applyNumberFormat="1" applyFont="1" applyFill="1" applyBorder="1" applyAlignment="1">
      <alignment horizontal="right" vertical="center"/>
    </xf>
    <xf numFmtId="3" fontId="51" fillId="0" borderId="1" xfId="0" applyNumberFormat="1" applyFont="1" applyFill="1" applyBorder="1" applyAlignment="1">
      <alignment horizontal="center" vertical="center"/>
    </xf>
    <xf numFmtId="3" fontId="53" fillId="31" borderId="1" xfId="0" applyNumberFormat="1" applyFont="1" applyFill="1" applyBorder="1" applyAlignment="1">
      <alignment horizontal="right" vertical="center" wrapText="1"/>
    </xf>
    <xf numFmtId="3" fontId="53" fillId="31" borderId="1" xfId="0" applyNumberFormat="1" applyFont="1" applyFill="1" applyBorder="1" applyAlignment="1">
      <alignment horizontal="center" vertical="center" wrapText="1"/>
    </xf>
    <xf numFmtId="14" fontId="53" fillId="31" borderId="1" xfId="0" applyNumberFormat="1" applyFont="1" applyFill="1" applyBorder="1" applyAlignment="1">
      <alignment horizontal="right" vertical="center" wrapText="1"/>
    </xf>
    <xf numFmtId="0" fontId="6" fillId="0" borderId="1" xfId="0" applyFont="1" applyFill="1" applyBorder="1" applyAlignment="1">
      <alignment horizontal="left" wrapText="1"/>
    </xf>
    <xf numFmtId="3" fontId="23" fillId="0" borderId="1" xfId="9" applyNumberFormat="1" applyFont="1" applyFill="1" applyBorder="1" applyAlignment="1">
      <alignment horizontal="right" vertical="center"/>
    </xf>
    <xf numFmtId="3" fontId="57" fillId="0" borderId="1" xfId="0" applyNumberFormat="1" applyFont="1" applyFill="1" applyBorder="1" applyAlignment="1">
      <alignment horizontal="right" vertical="center"/>
    </xf>
    <xf numFmtId="3" fontId="57" fillId="30" borderId="1" xfId="0" applyNumberFormat="1" applyFont="1" applyFill="1" applyBorder="1" applyAlignment="1">
      <alignment vertical="center" wrapText="1"/>
    </xf>
    <xf numFmtId="3" fontId="51" fillId="30" borderId="4" xfId="0" applyNumberFormat="1" applyFont="1" applyFill="1" applyBorder="1" applyAlignment="1">
      <alignment vertical="center" wrapText="1"/>
    </xf>
    <xf numFmtId="0" fontId="54" fillId="3" borderId="3" xfId="1308" applyFill="1" applyBorder="1" applyAlignment="1">
      <alignment horizontal="center" vertical="center" wrapText="1"/>
    </xf>
    <xf numFmtId="3" fontId="23" fillId="3" borderId="1" xfId="0" applyNumberFormat="1" applyFont="1" applyFill="1" applyBorder="1" applyAlignment="1">
      <alignment horizontal="right" vertical="center" wrapText="1"/>
    </xf>
    <xf numFmtId="0" fontId="47" fillId="11" borderId="1" xfId="0" applyFont="1" applyFill="1" applyBorder="1" applyAlignment="1"/>
    <xf numFmtId="3" fontId="53" fillId="31" borderId="4" xfId="0" applyNumberFormat="1" applyFont="1" applyFill="1" applyBorder="1" applyAlignment="1">
      <alignment horizontal="right" vertical="center" wrapText="1"/>
    </xf>
    <xf numFmtId="0" fontId="53" fillId="39" borderId="1" xfId="0" applyFont="1" applyFill="1" applyBorder="1" applyAlignment="1">
      <alignment horizontal="center" vertical="center" wrapText="1"/>
    </xf>
    <xf numFmtId="3" fontId="53" fillId="39" borderId="4" xfId="0" applyNumberFormat="1" applyFont="1" applyFill="1" applyBorder="1" applyAlignment="1">
      <alignment horizontal="right" vertical="center" wrapText="1"/>
    </xf>
    <xf numFmtId="0" fontId="51" fillId="34" borderId="3" xfId="0" applyFont="1" applyFill="1" applyBorder="1" applyAlignment="1">
      <alignment vertical="center" wrapText="1"/>
    </xf>
    <xf numFmtId="0" fontId="52" fillId="34" borderId="1" xfId="0" applyFont="1" applyFill="1" applyBorder="1" applyAlignment="1">
      <alignment horizontal="center" vertical="center" wrapText="1"/>
    </xf>
    <xf numFmtId="0" fontId="52" fillId="3" borderId="1" xfId="0" applyFont="1" applyFill="1" applyBorder="1" applyAlignment="1">
      <alignment horizontal="left" vertical="center" wrapText="1"/>
    </xf>
    <xf numFmtId="0" fontId="46" fillId="3"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wrapText="1"/>
    </xf>
    <xf numFmtId="3" fontId="51" fillId="34" borderId="1" xfId="0" applyNumberFormat="1" applyFont="1" applyFill="1" applyBorder="1" applyAlignment="1">
      <alignment horizontal="center" vertical="center" wrapText="1"/>
    </xf>
    <xf numFmtId="3" fontId="51" fillId="0" borderId="1" xfId="0" applyNumberFormat="1" applyFont="1" applyBorder="1" applyAlignment="1">
      <alignment vertical="center" wrapText="1"/>
    </xf>
    <xf numFmtId="3" fontId="53" fillId="34" borderId="1" xfId="0" applyNumberFormat="1" applyFont="1" applyFill="1" applyBorder="1" applyAlignment="1">
      <alignment horizontal="right" vertical="center" wrapText="1"/>
    </xf>
    <xf numFmtId="14" fontId="51" fillId="0" borderId="1" xfId="0" applyNumberFormat="1" applyFont="1" applyBorder="1" applyAlignment="1">
      <alignment vertical="center" wrapText="1"/>
    </xf>
    <xf numFmtId="0" fontId="52" fillId="34" borderId="3" xfId="0" applyFont="1" applyFill="1" applyBorder="1" applyAlignment="1">
      <alignment horizontal="center" vertical="center" wrapText="1"/>
    </xf>
    <xf numFmtId="0" fontId="52" fillId="3" borderId="3" xfId="0" applyFont="1" applyFill="1" applyBorder="1" applyAlignment="1">
      <alignment horizontal="left" vertical="center" wrapText="1"/>
    </xf>
    <xf numFmtId="0" fontId="51" fillId="3" borderId="3" xfId="0" applyFont="1" applyFill="1" applyBorder="1" applyAlignment="1">
      <alignment horizontal="center" vertical="center" wrapText="1"/>
    </xf>
    <xf numFmtId="0" fontId="51" fillId="34" borderId="3" xfId="0" applyFont="1" applyFill="1" applyBorder="1" applyAlignment="1">
      <alignment horizontal="center" vertical="center" wrapText="1"/>
    </xf>
    <xf numFmtId="0" fontId="52" fillId="3" borderId="3" xfId="663" applyFont="1" applyFill="1" applyBorder="1" applyAlignment="1">
      <alignment horizontal="center" vertical="center" wrapText="1"/>
    </xf>
    <xf numFmtId="171" fontId="56" fillId="12" borderId="3" xfId="0" applyNumberFormat="1" applyFont="1" applyFill="1" applyBorder="1" applyAlignment="1"/>
    <xf numFmtId="171" fontId="3" fillId="8" borderId="3" xfId="2" applyNumberFormat="1" applyFill="1" applyBorder="1"/>
    <xf numFmtId="171" fontId="3" fillId="12" borderId="0" xfId="2" applyNumberFormat="1" applyFill="1"/>
    <xf numFmtId="0" fontId="51" fillId="0" borderId="3" xfId="0" applyFont="1" applyFill="1" applyBorder="1" applyAlignment="1">
      <alignment horizontal="center" vertical="center" wrapText="1"/>
    </xf>
    <xf numFmtId="0" fontId="52" fillId="0" borderId="3" xfId="663" applyFont="1" applyFill="1" applyBorder="1" applyAlignment="1">
      <alignment horizontal="center" vertical="center" wrapText="1"/>
    </xf>
    <xf numFmtId="43" fontId="47" fillId="0" borderId="1" xfId="0" applyNumberFormat="1" applyFont="1" applyBorder="1" applyAlignment="1"/>
    <xf numFmtId="0" fontId="51" fillId="0" borderId="3" xfId="0" applyFont="1" applyFill="1" applyBorder="1" applyAlignment="1">
      <alignment vertical="center" wrapText="1"/>
    </xf>
    <xf numFmtId="0" fontId="52" fillId="3" borderId="1" xfId="0" applyFont="1" applyFill="1" applyBorder="1" applyAlignment="1">
      <alignment horizontal="justify" vertical="justify" wrapText="1"/>
    </xf>
    <xf numFmtId="179" fontId="45" fillId="0" borderId="1" xfId="664" applyNumberFormat="1" applyFont="1" applyFill="1" applyBorder="1" applyAlignment="1">
      <alignment horizontal="center" vertical="center" wrapText="1"/>
    </xf>
    <xf numFmtId="169" fontId="52" fillId="0" borderId="1" xfId="0" applyNumberFormat="1" applyFont="1" applyFill="1" applyBorder="1" applyAlignment="1">
      <alignment horizontal="center" vertical="center" wrapText="1"/>
    </xf>
    <xf numFmtId="3" fontId="53" fillId="3" borderId="1" xfId="0" applyNumberFormat="1" applyFont="1" applyFill="1" applyBorder="1" applyAlignment="1">
      <alignment horizontal="center" vertical="center" wrapText="1"/>
    </xf>
    <xf numFmtId="0" fontId="53" fillId="36" borderId="1" xfId="0" applyFont="1" applyFill="1" applyBorder="1" applyAlignment="1">
      <alignment horizontal="center" vertical="center" wrapText="1"/>
    </xf>
    <xf numFmtId="3" fontId="53" fillId="34" borderId="1" xfId="0" applyNumberFormat="1" applyFont="1" applyFill="1" applyBorder="1" applyAlignment="1">
      <alignment horizontal="center" vertical="center" wrapText="1"/>
    </xf>
    <xf numFmtId="14" fontId="53" fillId="34" borderId="1" xfId="0" applyNumberFormat="1" applyFont="1" applyFill="1" applyBorder="1" applyAlignment="1">
      <alignment horizontal="right" vertical="center" wrapText="1"/>
    </xf>
    <xf numFmtId="171" fontId="55" fillId="8" borderId="0" xfId="2" applyNumberFormat="1" applyFont="1" applyFill="1"/>
    <xf numFmtId="0" fontId="53" fillId="12" borderId="1" xfId="0" applyFont="1" applyFill="1" applyBorder="1" applyAlignment="1">
      <alignment horizontal="center" vertical="center" wrapText="1"/>
    </xf>
    <xf numFmtId="3" fontId="53" fillId="38" borderId="1" xfId="0" applyNumberFormat="1" applyFont="1" applyFill="1" applyBorder="1" applyAlignment="1">
      <alignment horizontal="right" vertical="center" wrapText="1"/>
    </xf>
    <xf numFmtId="3" fontId="46" fillId="38" borderId="1" xfId="0" applyNumberFormat="1" applyFont="1" applyFill="1" applyBorder="1" applyAlignment="1">
      <alignment horizontal="right" vertical="center" wrapText="1"/>
    </xf>
    <xf numFmtId="0" fontId="48" fillId="41" borderId="1" xfId="0" applyFont="1" applyFill="1" applyBorder="1" applyAlignment="1">
      <alignment horizontal="center" vertical="center"/>
    </xf>
    <xf numFmtId="43" fontId="47" fillId="0" borderId="0" xfId="0" applyNumberFormat="1" applyFont="1" applyAlignment="1"/>
    <xf numFmtId="0" fontId="46"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8" xfId="0" applyFont="1" applyFill="1" applyBorder="1" applyAlignment="1">
      <alignment horizontal="center" vertical="center"/>
    </xf>
    <xf numFmtId="177" fontId="23" fillId="3" borderId="3" xfId="0" applyNumberFormat="1" applyFont="1" applyFill="1" applyBorder="1" applyAlignment="1">
      <alignment vertical="center" wrapText="1"/>
    </xf>
    <xf numFmtId="14" fontId="23" fillId="3" borderId="3" xfId="0" applyNumberFormat="1" applyFont="1" applyFill="1" applyBorder="1" applyAlignment="1">
      <alignment vertical="center" wrapText="1"/>
    </xf>
    <xf numFmtId="0" fontId="23" fillId="3" borderId="3" xfId="0" applyFont="1" applyFill="1" applyBorder="1" applyAlignment="1">
      <alignment vertical="center" wrapText="1"/>
    </xf>
    <xf numFmtId="173" fontId="25" fillId="11" borderId="6" xfId="2" applyNumberFormat="1" applyFont="1" applyFill="1" applyBorder="1" applyAlignment="1">
      <alignment horizontal="center" vertical="center" wrapText="1"/>
    </xf>
    <xf numFmtId="177" fontId="23" fillId="12" borderId="3" xfId="0" applyNumberFormat="1" applyFont="1" applyFill="1" applyBorder="1" applyAlignment="1">
      <alignment vertical="center" wrapText="1"/>
    </xf>
    <xf numFmtId="14" fontId="23" fillId="12" borderId="3" xfId="0" applyNumberFormat="1" applyFont="1" applyFill="1" applyBorder="1" applyAlignment="1">
      <alignment vertical="center" wrapText="1"/>
    </xf>
    <xf numFmtId="0" fontId="23" fillId="12" borderId="3" xfId="0" applyFont="1" applyFill="1" applyBorder="1" applyAlignment="1">
      <alignment vertical="center" wrapText="1"/>
    </xf>
    <xf numFmtId="173" fontId="24" fillId="11" borderId="3" xfId="2" applyNumberFormat="1" applyFont="1" applyFill="1" applyBorder="1" applyAlignment="1">
      <alignment horizontal="center" vertical="center" wrapText="1" readingOrder="1"/>
    </xf>
    <xf numFmtId="173" fontId="24" fillId="11" borderId="9" xfId="2" applyNumberFormat="1" applyFont="1" applyFill="1" applyBorder="1" applyAlignment="1">
      <alignment horizontal="center" vertical="center" wrapText="1" readingOrder="1"/>
    </xf>
    <xf numFmtId="177" fontId="23" fillId="12" borderId="6" xfId="0" applyNumberFormat="1" applyFont="1" applyFill="1" applyBorder="1" applyAlignment="1">
      <alignment horizontal="center" vertical="center" wrapText="1"/>
    </xf>
    <xf numFmtId="177" fontId="23" fillId="12" borderId="3" xfId="0" applyNumberFormat="1" applyFont="1" applyFill="1" applyBorder="1" applyAlignment="1">
      <alignment horizontal="center" vertical="center" wrapText="1"/>
    </xf>
    <xf numFmtId="177" fontId="23" fillId="12" borderId="10" xfId="0" applyNumberFormat="1" applyFont="1" applyFill="1" applyBorder="1" applyAlignment="1">
      <alignment vertical="center" wrapText="1"/>
    </xf>
    <xf numFmtId="14" fontId="23" fillId="12" borderId="10" xfId="0" applyNumberFormat="1" applyFont="1" applyFill="1" applyBorder="1" applyAlignment="1">
      <alignment vertical="center" wrapText="1"/>
    </xf>
    <xf numFmtId="0" fontId="23" fillId="12" borderId="10" xfId="0" applyFont="1" applyFill="1" applyBorder="1" applyAlignment="1">
      <alignment vertical="center" wrapText="1"/>
    </xf>
    <xf numFmtId="0" fontId="52" fillId="3" borderId="1" xfId="1147" applyFont="1" applyFill="1" applyBorder="1" applyAlignment="1">
      <alignment horizontal="center" vertical="center" wrapText="1"/>
    </xf>
    <xf numFmtId="3"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right" vertical="center" wrapText="1"/>
    </xf>
    <xf numFmtId="3" fontId="52" fillId="3" borderId="1" xfId="1153" applyNumberFormat="1" applyFont="1" applyFill="1" applyBorder="1" applyAlignment="1">
      <alignment horizontal="center" vertical="center" wrapText="1"/>
    </xf>
    <xf numFmtId="14"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left" vertical="center" wrapText="1"/>
    </xf>
    <xf numFmtId="3" fontId="52" fillId="3" borderId="1" xfId="1158" applyNumberFormat="1" applyFont="1" applyFill="1" applyBorder="1" applyAlignment="1">
      <alignment horizontal="right" vertical="center" wrapText="1"/>
    </xf>
    <xf numFmtId="3" fontId="52" fillId="3" borderId="1" xfId="1158" applyNumberFormat="1" applyFont="1" applyFill="1" applyBorder="1" applyAlignment="1">
      <alignment horizontal="center" vertical="center" wrapText="1"/>
    </xf>
    <xf numFmtId="0" fontId="53" fillId="31" borderId="1" xfId="0" applyFont="1" applyFill="1" applyBorder="1" applyAlignment="1">
      <alignment horizontal="center" vertical="justify" wrapText="1"/>
    </xf>
    <xf numFmtId="3" fontId="53" fillId="31" borderId="1" xfId="0" applyNumberFormat="1" applyFont="1" applyFill="1" applyBorder="1" applyAlignment="1">
      <alignment vertical="center" wrapText="1"/>
    </xf>
    <xf numFmtId="14" fontId="53" fillId="31" borderId="1" xfId="0" applyNumberFormat="1" applyFont="1" applyFill="1" applyBorder="1" applyAlignment="1">
      <alignment vertical="center" wrapText="1"/>
    </xf>
    <xf numFmtId="3" fontId="52" fillId="3" borderId="1" xfId="1158" applyNumberFormat="1" applyFont="1" applyFill="1" applyBorder="1" applyAlignment="1">
      <alignment horizontal="left" vertical="center" wrapText="1"/>
    </xf>
    <xf numFmtId="3" fontId="52" fillId="0" borderId="1" xfId="9" applyNumberFormat="1" applyFont="1" applyFill="1" applyBorder="1" applyAlignment="1">
      <alignment vertical="center"/>
    </xf>
    <xf numFmtId="14" fontId="52" fillId="0" borderId="1" xfId="9" applyNumberFormat="1" applyFont="1" applyFill="1" applyBorder="1" applyAlignment="1">
      <alignment vertical="center"/>
    </xf>
    <xf numFmtId="3" fontId="48" fillId="42" borderId="1" xfId="0" applyNumberFormat="1" applyFont="1" applyFill="1" applyBorder="1" applyAlignment="1">
      <alignment vertical="center"/>
    </xf>
    <xf numFmtId="0" fontId="46" fillId="43" borderId="1" xfId="0" applyFont="1" applyFill="1" applyBorder="1" applyAlignment="1">
      <alignment horizontal="center" vertical="center" wrapText="1"/>
    </xf>
    <xf numFmtId="3" fontId="48" fillId="44" borderId="1" xfId="0" applyNumberFormat="1" applyFont="1" applyFill="1" applyBorder="1" applyAlignment="1">
      <alignment vertical="center"/>
    </xf>
    <xf numFmtId="3" fontId="48" fillId="44" borderId="1" xfId="0" applyNumberFormat="1" applyFont="1" applyFill="1" applyBorder="1" applyAlignment="1">
      <alignment horizontal="center" vertical="center"/>
    </xf>
    <xf numFmtId="14" fontId="48" fillId="44" borderId="1" xfId="0" applyNumberFormat="1" applyFont="1" applyFill="1" applyBorder="1" applyAlignment="1">
      <alignment vertical="center"/>
    </xf>
    <xf numFmtId="3" fontId="48" fillId="45" borderId="1" xfId="0" applyNumberFormat="1" applyFont="1" applyFill="1" applyBorder="1" applyAlignment="1">
      <alignment vertical="center"/>
    </xf>
    <xf numFmtId="14" fontId="48" fillId="45" borderId="1" xfId="0" applyNumberFormat="1" applyFont="1" applyFill="1" applyBorder="1" applyAlignment="1">
      <alignment vertical="center"/>
    </xf>
    <xf numFmtId="43" fontId="47" fillId="12" borderId="0" xfId="0" applyNumberFormat="1" applyFont="1" applyFill="1" applyAlignment="1"/>
    <xf numFmtId="0" fontId="47" fillId="8" borderId="0" xfId="0" applyFont="1" applyFill="1" applyAlignment="1"/>
    <xf numFmtId="169" fontId="48" fillId="25" borderId="0" xfId="0" applyNumberFormat="1" applyFont="1" applyFill="1" applyBorder="1" applyAlignment="1">
      <alignment vertical="center"/>
    </xf>
    <xf numFmtId="169" fontId="52" fillId="41" borderId="0" xfId="0" applyNumberFormat="1" applyFont="1" applyFill="1" applyBorder="1" applyAlignment="1">
      <alignment vertical="center"/>
    </xf>
    <xf numFmtId="4" fontId="61" fillId="3" borderId="0" xfId="0" applyNumberFormat="1" applyFont="1" applyFill="1" applyAlignment="1"/>
    <xf numFmtId="3" fontId="61" fillId="3" borderId="0" xfId="0" applyNumberFormat="1" applyFont="1" applyFill="1" applyAlignment="1"/>
    <xf numFmtId="0" fontId="51" fillId="3" borderId="0" xfId="0" applyFont="1" applyFill="1" applyAlignment="1">
      <alignment vertical="center"/>
    </xf>
    <xf numFmtId="171" fontId="46" fillId="3" borderId="0" xfId="2" applyNumberFormat="1" applyFont="1" applyFill="1" applyBorder="1" applyAlignment="1" applyProtection="1">
      <alignment horizontal="center" vertical="center"/>
    </xf>
    <xf numFmtId="0" fontId="47" fillId="0" borderId="0" xfId="0" applyFont="1" applyAlignment="1">
      <alignment horizontal="justify" vertical="justify"/>
    </xf>
    <xf numFmtId="169" fontId="62" fillId="0" borderId="2" xfId="8" applyNumberFormat="1" applyFont="1" applyBorder="1" applyAlignment="1" applyProtection="1">
      <alignment vertical="center"/>
    </xf>
    <xf numFmtId="169" fontId="62" fillId="0" borderId="0" xfId="8" applyNumberFormat="1" applyFont="1" applyBorder="1" applyAlignment="1" applyProtection="1">
      <alignment vertical="center"/>
    </xf>
    <xf numFmtId="171" fontId="53" fillId="3" borderId="0"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169" fontId="62" fillId="0" borderId="0" xfId="0" applyNumberFormat="1" applyFont="1" applyAlignment="1"/>
    <xf numFmtId="14" fontId="51" fillId="3" borderId="0" xfId="0" applyNumberFormat="1" applyFont="1" applyFill="1" applyAlignment="1">
      <alignment vertical="center"/>
    </xf>
    <xf numFmtId="0" fontId="47" fillId="0" borderId="0" xfId="0" applyFont="1"/>
    <xf numFmtId="0" fontId="47" fillId="0" borderId="0" xfId="0" applyFont="1" applyAlignment="1">
      <alignment horizontal="center"/>
    </xf>
    <xf numFmtId="0" fontId="51" fillId="30" borderId="10" xfId="0" applyFont="1" applyFill="1" applyBorder="1" applyAlignment="1">
      <alignment horizontal="center" vertical="center" textRotation="90" wrapText="1"/>
    </xf>
    <xf numFmtId="171" fontId="25" fillId="0" borderId="0" xfId="2" applyNumberFormat="1" applyFont="1" applyBorder="1" applyAlignment="1" applyProtection="1">
      <alignment vertical="center"/>
    </xf>
    <xf numFmtId="169" fontId="45" fillId="25" borderId="27" xfId="0" applyNumberFormat="1" applyFont="1" applyFill="1" applyBorder="1" applyAlignment="1">
      <alignment vertical="center"/>
    </xf>
    <xf numFmtId="169" fontId="45" fillId="25" borderId="11" xfId="0" applyNumberFormat="1" applyFont="1" applyFill="1" applyBorder="1" applyAlignment="1">
      <alignment vertical="center"/>
    </xf>
    <xf numFmtId="169" fontId="45" fillId="25" borderId="8" xfId="0" applyNumberFormat="1" applyFont="1" applyFill="1" applyBorder="1" applyAlignment="1">
      <alignment vertical="center"/>
    </xf>
    <xf numFmtId="0" fontId="51" fillId="30" borderId="3" xfId="0" applyFont="1" applyFill="1" applyBorder="1" applyAlignment="1">
      <alignment horizontal="center" vertical="center" wrapText="1"/>
    </xf>
    <xf numFmtId="0" fontId="51" fillId="30" borderId="1" xfId="0" applyFont="1" applyFill="1" applyBorder="1" applyAlignment="1">
      <alignment vertical="center" wrapText="1"/>
    </xf>
    <xf numFmtId="0" fontId="52" fillId="18" borderId="1" xfId="0" applyFont="1" applyFill="1" applyBorder="1"/>
    <xf numFmtId="3" fontId="48" fillId="46" borderId="1" xfId="0" applyNumberFormat="1" applyFont="1" applyFill="1" applyBorder="1" applyAlignment="1">
      <alignment vertical="center"/>
    </xf>
    <xf numFmtId="0" fontId="45" fillId="25" borderId="3" xfId="0" applyFont="1" applyFill="1" applyBorder="1" applyAlignment="1">
      <alignment horizontal="center" vertical="center" wrapText="1"/>
    </xf>
    <xf numFmtId="0" fontId="5" fillId="3" borderId="3" xfId="0" applyFont="1" applyFill="1" applyBorder="1" applyAlignment="1">
      <alignment horizontal="left" wrapText="1"/>
    </xf>
    <xf numFmtId="0" fontId="45" fillId="3" borderId="3" xfId="0" applyFont="1" applyFill="1" applyBorder="1" applyAlignment="1">
      <alignment horizontal="left" vertical="center" wrapText="1"/>
    </xf>
    <xf numFmtId="17" fontId="52" fillId="0" borderId="3" xfId="1293" applyNumberFormat="1" applyFont="1" applyFill="1" applyBorder="1" applyAlignment="1">
      <alignment horizontal="center" vertical="center"/>
    </xf>
    <xf numFmtId="0" fontId="52" fillId="0" borderId="3" xfId="1293" applyFont="1" applyFill="1" applyBorder="1" applyAlignment="1">
      <alignment horizontal="center" vertical="center"/>
    </xf>
    <xf numFmtId="169" fontId="51" fillId="3" borderId="3" xfId="0" applyNumberFormat="1" applyFont="1" applyFill="1" applyBorder="1" applyAlignment="1">
      <alignment horizontal="center" vertical="center" wrapText="1"/>
    </xf>
    <xf numFmtId="0" fontId="30" fillId="15" borderId="3"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3" fillId="15" borderId="1"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0" fillId="15" borderId="6" xfId="0" applyFont="1" applyFill="1" applyBorder="1" applyAlignment="1">
      <alignment horizontal="left" vertical="center" wrapText="1"/>
    </xf>
    <xf numFmtId="0" fontId="30" fillId="15" borderId="11" xfId="0" applyFont="1" applyFill="1" applyBorder="1" applyAlignment="1">
      <alignment horizontal="left" vertical="center" wrapText="1"/>
    </xf>
    <xf numFmtId="0" fontId="30" fillId="15" borderId="5" xfId="0" applyFont="1" applyFill="1" applyBorder="1" applyAlignment="1">
      <alignment horizontal="left" vertical="center" wrapText="1"/>
    </xf>
    <xf numFmtId="44" fontId="30" fillId="15" borderId="1" xfId="9" applyFont="1" applyFill="1" applyBorder="1" applyAlignment="1">
      <alignment horizontal="center" vertical="center" wrapText="1"/>
    </xf>
    <xf numFmtId="0" fontId="53" fillId="31" borderId="3" xfId="0" applyFont="1" applyFill="1" applyBorder="1" applyAlignment="1">
      <alignment horizontal="center" vertical="center" wrapText="1"/>
    </xf>
    <xf numFmtId="0" fontId="53" fillId="34" borderId="1" xfId="0" applyFont="1" applyFill="1" applyBorder="1" applyAlignment="1">
      <alignment horizontal="center" vertical="center" wrapText="1"/>
    </xf>
    <xf numFmtId="0" fontId="53" fillId="34" borderId="18" xfId="0" applyFont="1" applyFill="1" applyBorder="1" applyAlignment="1">
      <alignment horizontal="center" vertical="center" wrapText="1"/>
    </xf>
    <xf numFmtId="0" fontId="53" fillId="34" borderId="5" xfId="0" applyFont="1" applyFill="1" applyBorder="1" applyAlignment="1">
      <alignment horizontal="center" vertical="center" wrapText="1"/>
    </xf>
    <xf numFmtId="3" fontId="53" fillId="34" borderId="1" xfId="0" applyNumberFormat="1" applyFont="1" applyFill="1" applyBorder="1" applyAlignment="1">
      <alignment horizontal="right" vertical="center"/>
    </xf>
    <xf numFmtId="0" fontId="51" fillId="34" borderId="3" xfId="0" applyFont="1" applyFill="1" applyBorder="1" applyAlignment="1">
      <alignment horizontal="left" vertical="center" wrapText="1"/>
    </xf>
    <xf numFmtId="0" fontId="52" fillId="0" borderId="3" xfId="0" applyFont="1" applyFill="1" applyBorder="1" applyAlignment="1">
      <alignment horizontal="center" vertical="center" wrapText="1"/>
    </xf>
    <xf numFmtId="0" fontId="51" fillId="30" borderId="2" xfId="0" applyFont="1" applyFill="1" applyBorder="1" applyAlignment="1">
      <alignment horizontal="center" vertical="center" wrapText="1"/>
    </xf>
    <xf numFmtId="0" fontId="5" fillId="0" borderId="3" xfId="0" applyFont="1" applyFill="1" applyBorder="1" applyAlignment="1">
      <alignment vertical="center" wrapText="1"/>
    </xf>
    <xf numFmtId="0" fontId="52" fillId="35" borderId="3" xfId="0" applyFont="1" applyFill="1" applyBorder="1" applyAlignment="1">
      <alignment horizontal="center" vertical="center" wrapText="1"/>
    </xf>
    <xf numFmtId="44" fontId="52" fillId="30" borderId="1" xfId="0" applyNumberFormat="1" applyFont="1" applyFill="1" applyBorder="1" applyAlignment="1">
      <alignment horizontal="center" vertical="center" wrapText="1"/>
    </xf>
    <xf numFmtId="0" fontId="66" fillId="0" borderId="1" xfId="0" applyFont="1" applyFill="1" applyBorder="1" applyAlignment="1">
      <alignment horizontal="left" vertical="center" wrapText="1"/>
    </xf>
    <xf numFmtId="173" fontId="0" fillId="47" borderId="1" xfId="2" applyNumberFormat="1" applyFont="1" applyFill="1" applyBorder="1" applyAlignment="1">
      <alignment vertical="center"/>
    </xf>
    <xf numFmtId="0" fontId="68" fillId="48" borderId="14" xfId="0" applyFont="1" applyFill="1" applyBorder="1" applyAlignment="1">
      <alignment vertical="center"/>
    </xf>
    <xf numFmtId="0" fontId="68" fillId="48" borderId="19" xfId="0" applyFont="1" applyFill="1" applyBorder="1" applyAlignment="1">
      <alignment vertical="center"/>
    </xf>
    <xf numFmtId="0" fontId="68" fillId="47" borderId="19" xfId="0" applyFont="1" applyFill="1" applyBorder="1" applyAlignment="1">
      <alignment vertical="center"/>
    </xf>
    <xf numFmtId="0" fontId="68" fillId="49" borderId="19" xfId="0" applyFont="1" applyFill="1" applyBorder="1" applyAlignment="1">
      <alignment vertical="center"/>
    </xf>
    <xf numFmtId="0" fontId="0" fillId="20" borderId="1" xfId="0" applyFill="1" applyBorder="1" applyAlignment="1">
      <alignment horizontal="center" vertical="center"/>
    </xf>
    <xf numFmtId="0" fontId="65" fillId="4" borderId="5" xfId="0" applyFont="1" applyFill="1" applyBorder="1" applyAlignment="1">
      <alignment vertical="center"/>
    </xf>
    <xf numFmtId="0" fontId="65" fillId="49" borderId="5" xfId="0" applyFont="1" applyFill="1" applyBorder="1" applyAlignment="1">
      <alignment vertical="center"/>
    </xf>
    <xf numFmtId="0" fontId="0" fillId="4" borderId="1" xfId="0" applyFill="1" applyBorder="1" applyAlignment="1">
      <alignment horizontal="center" vertical="center"/>
    </xf>
    <xf numFmtId="0" fontId="0" fillId="47" borderId="1" xfId="0" applyFill="1" applyBorder="1" applyAlignment="1">
      <alignment horizontal="center" vertical="center"/>
    </xf>
    <xf numFmtId="0" fontId="0" fillId="49" borderId="1" xfId="0" applyFill="1" applyBorder="1" applyAlignment="1">
      <alignment horizontal="center" vertical="center"/>
    </xf>
    <xf numFmtId="0" fontId="67" fillId="48" borderId="9" xfId="0" applyFont="1" applyFill="1" applyBorder="1" applyAlignment="1">
      <alignment horizontal="center" vertical="center" wrapText="1"/>
    </xf>
    <xf numFmtId="0" fontId="65" fillId="47" borderId="1" xfId="0" applyFont="1" applyFill="1" applyBorder="1" applyAlignment="1">
      <alignment horizontal="center" vertical="center" wrapText="1"/>
    </xf>
    <xf numFmtId="173" fontId="0" fillId="0" borderId="1" xfId="2" applyNumberFormat="1" applyFont="1" applyBorder="1" applyAlignment="1">
      <alignment vertical="center"/>
    </xf>
    <xf numFmtId="173" fontId="0" fillId="49" borderId="1" xfId="2" applyNumberFormat="1" applyFont="1" applyFill="1" applyBorder="1" applyAlignment="1">
      <alignment vertical="center"/>
    </xf>
    <xf numFmtId="173" fontId="0" fillId="0" borderId="1" xfId="2" applyNumberFormat="1" applyFont="1" applyFill="1" applyBorder="1" applyAlignment="1">
      <alignment vertical="center"/>
    </xf>
    <xf numFmtId="0" fontId="70" fillId="0" borderId="1" xfId="0" applyFont="1" applyFill="1" applyBorder="1" applyAlignment="1">
      <alignment horizontal="left" vertical="center" wrapText="1"/>
    </xf>
    <xf numFmtId="173" fontId="64" fillId="11" borderId="1" xfId="2" applyNumberFormat="1" applyFont="1" applyFill="1" applyBorder="1" applyAlignment="1">
      <alignment vertical="center"/>
    </xf>
    <xf numFmtId="173" fontId="64" fillId="0" borderId="1" xfId="2" applyNumberFormat="1" applyFont="1" applyFill="1" applyBorder="1" applyAlignment="1">
      <alignment vertical="center"/>
    </xf>
    <xf numFmtId="0" fontId="64" fillId="0" borderId="0" xfId="0" applyFont="1"/>
    <xf numFmtId="0" fontId="0" fillId="0" borderId="1" xfId="0" applyBorder="1" applyAlignment="1">
      <alignment vertical="center" wrapText="1"/>
    </xf>
    <xf numFmtId="173" fontId="68" fillId="11" borderId="1" xfId="2" applyNumberFormat="1" applyFont="1" applyFill="1" applyBorder="1" applyAlignment="1">
      <alignment vertical="center"/>
    </xf>
    <xf numFmtId="173" fontId="68" fillId="47" borderId="1" xfId="2" applyNumberFormat="1" applyFont="1" applyFill="1" applyBorder="1" applyAlignment="1">
      <alignment vertical="center"/>
    </xf>
    <xf numFmtId="173" fontId="68" fillId="49" borderId="1" xfId="2" applyNumberFormat="1" applyFont="1" applyFill="1" applyBorder="1" applyAlignment="1">
      <alignment vertical="center"/>
    </xf>
    <xf numFmtId="0" fontId="0" fillId="0" borderId="1" xfId="0" applyBorder="1" applyAlignment="1">
      <alignment horizontal="justify" vertical="center" wrapText="1"/>
    </xf>
    <xf numFmtId="173" fontId="0" fillId="0" borderId="1" xfId="0" applyNumberFormat="1" applyBorder="1" applyAlignment="1">
      <alignment horizontal="justify" vertical="center" wrapText="1"/>
    </xf>
    <xf numFmtId="0" fontId="0" fillId="0" borderId="0" xfId="0" applyAlignment="1">
      <alignment horizontal="justify" vertical="center" wrapText="1"/>
    </xf>
    <xf numFmtId="173" fontId="64" fillId="0" borderId="1" xfId="2" applyNumberFormat="1" applyFont="1" applyBorder="1" applyAlignment="1">
      <alignment vertical="center"/>
    </xf>
    <xf numFmtId="173" fontId="64" fillId="47" borderId="1" xfId="2" applyNumberFormat="1" applyFont="1" applyFill="1" applyBorder="1" applyAlignment="1">
      <alignment vertical="center"/>
    </xf>
    <xf numFmtId="173" fontId="64" fillId="49" borderId="1" xfId="2" applyNumberFormat="1" applyFont="1" applyFill="1" applyBorder="1" applyAlignment="1">
      <alignment vertical="center"/>
    </xf>
    <xf numFmtId="0" fontId="0" fillId="49" borderId="1" xfId="0" applyFill="1" applyBorder="1" applyAlignment="1">
      <alignment vertical="center" wrapText="1"/>
    </xf>
    <xf numFmtId="0" fontId="0" fillId="47" borderId="0" xfId="0" applyFill="1" applyAlignment="1">
      <alignment vertical="center"/>
    </xf>
    <xf numFmtId="0" fontId="0" fillId="0" borderId="1" xfId="0" applyBorder="1" applyAlignment="1">
      <alignment vertical="center"/>
    </xf>
    <xf numFmtId="0" fontId="0" fillId="0" borderId="1" xfId="0" applyBorder="1"/>
    <xf numFmtId="44" fontId="0" fillId="0" borderId="0" xfId="9" applyFont="1"/>
    <xf numFmtId="173" fontId="0" fillId="0" borderId="0" xfId="0" applyNumberFormat="1"/>
    <xf numFmtId="0" fontId="59" fillId="0" borderId="1" xfId="0" applyFont="1" applyFill="1" applyBorder="1" applyAlignment="1">
      <alignment horizontal="left" vertical="center" wrapText="1"/>
    </xf>
    <xf numFmtId="173" fontId="71" fillId="0" borderId="1" xfId="2" applyNumberFormat="1" applyFont="1" applyFill="1" applyBorder="1" applyAlignment="1">
      <alignment vertical="center"/>
    </xf>
    <xf numFmtId="173" fontId="71" fillId="47" borderId="1" xfId="2" applyNumberFormat="1" applyFont="1" applyFill="1" applyBorder="1" applyAlignment="1">
      <alignment vertical="center"/>
    </xf>
    <xf numFmtId="173" fontId="71" fillId="49" borderId="1" xfId="2" applyNumberFormat="1" applyFont="1" applyFill="1" applyBorder="1" applyAlignment="1">
      <alignment vertical="center"/>
    </xf>
    <xf numFmtId="0" fontId="0" fillId="0" borderId="1" xfId="0" applyFill="1" applyBorder="1" applyAlignment="1">
      <alignment vertical="center" wrapText="1"/>
    </xf>
    <xf numFmtId="0" fontId="0" fillId="0" borderId="0" xfId="0" applyFill="1"/>
    <xf numFmtId="173" fontId="71" fillId="0" borderId="1" xfId="2" applyNumberFormat="1" applyFont="1" applyBorder="1" applyAlignment="1">
      <alignment vertical="center"/>
    </xf>
    <xf numFmtId="173" fontId="72" fillId="48" borderId="1" xfId="2" applyNumberFormat="1" applyFont="1" applyFill="1" applyBorder="1" applyAlignment="1">
      <alignment vertical="center" wrapText="1"/>
    </xf>
    <xf numFmtId="173" fontId="72" fillId="49" borderId="1" xfId="2" applyNumberFormat="1" applyFont="1" applyFill="1" applyBorder="1" applyAlignment="1">
      <alignment vertical="center" wrapText="1"/>
    </xf>
    <xf numFmtId="0" fontId="0" fillId="0" borderId="0" xfId="0" applyAlignment="1">
      <alignment horizontal="left" wrapText="1"/>
    </xf>
    <xf numFmtId="0" fontId="0" fillId="0" borderId="0" xfId="0" applyAlignment="1">
      <alignment vertical="center"/>
    </xf>
    <xf numFmtId="173" fontId="0" fillId="0" borderId="0" xfId="0" applyNumberFormat="1" applyAlignment="1">
      <alignment vertical="center"/>
    </xf>
    <xf numFmtId="173" fontId="0" fillId="47" borderId="0" xfId="0" applyNumberFormat="1" applyFill="1" applyAlignment="1">
      <alignment vertical="center"/>
    </xf>
    <xf numFmtId="173" fontId="0" fillId="49" borderId="0" xfId="0" applyNumberFormat="1" applyFill="1" applyAlignment="1">
      <alignment vertical="center"/>
    </xf>
    <xf numFmtId="9" fontId="0" fillId="0" borderId="0" xfId="1309" applyFont="1" applyAlignment="1">
      <alignment vertical="center"/>
    </xf>
    <xf numFmtId="9" fontId="0" fillId="47" borderId="0" xfId="1309" applyFont="1" applyFill="1" applyAlignment="1">
      <alignment vertical="center"/>
    </xf>
    <xf numFmtId="9" fontId="0" fillId="49" borderId="0" xfId="1309" applyFont="1" applyFill="1" applyAlignment="1">
      <alignment vertical="center"/>
    </xf>
    <xf numFmtId="0" fontId="65" fillId="0" borderId="0" xfId="0" applyFont="1" applyAlignment="1">
      <alignment vertical="center"/>
    </xf>
    <xf numFmtId="172" fontId="0" fillId="0" borderId="0" xfId="9" applyNumberFormat="1" applyFont="1" applyAlignment="1">
      <alignment vertical="center"/>
    </xf>
    <xf numFmtId="172" fontId="0" fillId="47" borderId="0" xfId="9" applyNumberFormat="1" applyFont="1" applyFill="1" applyAlignment="1">
      <alignment vertical="center"/>
    </xf>
    <xf numFmtId="172" fontId="0" fillId="49" borderId="0" xfId="9" applyNumberFormat="1" applyFont="1" applyFill="1" applyAlignment="1">
      <alignment vertical="center"/>
    </xf>
    <xf numFmtId="0" fontId="0" fillId="50" borderId="0" xfId="0" applyFill="1" applyAlignment="1">
      <alignment horizontal="left" wrapText="1"/>
    </xf>
    <xf numFmtId="0" fontId="0" fillId="50" borderId="0" xfId="0" applyFill="1" applyAlignment="1">
      <alignment vertical="center"/>
    </xf>
    <xf numFmtId="172" fontId="64" fillId="50" borderId="0" xfId="9" applyNumberFormat="1" applyFont="1" applyFill="1" applyAlignment="1">
      <alignment vertical="center"/>
    </xf>
    <xf numFmtId="172" fontId="64" fillId="47" borderId="0" xfId="9" applyNumberFormat="1" applyFont="1" applyFill="1" applyAlignment="1">
      <alignment vertical="center"/>
    </xf>
    <xf numFmtId="172" fontId="64" fillId="49" borderId="0" xfId="9" applyNumberFormat="1" applyFont="1" applyFill="1" applyAlignment="1">
      <alignment vertical="center"/>
    </xf>
    <xf numFmtId="0" fontId="0" fillId="50" borderId="0" xfId="0" applyFill="1"/>
    <xf numFmtId="0" fontId="73" fillId="0" borderId="0" xfId="0" applyFont="1" applyAlignment="1">
      <alignment horizontal="left" wrapText="1"/>
    </xf>
    <xf numFmtId="0" fontId="73" fillId="0" borderId="0" xfId="0" applyFont="1" applyAlignment="1">
      <alignment vertical="center"/>
    </xf>
    <xf numFmtId="0" fontId="73" fillId="4" borderId="0" xfId="0" applyFont="1" applyFill="1" applyAlignment="1">
      <alignment vertical="center"/>
    </xf>
    <xf numFmtId="173" fontId="73" fillId="4" borderId="0" xfId="0" applyNumberFormat="1" applyFont="1" applyFill="1" applyAlignment="1">
      <alignment vertical="center"/>
    </xf>
    <xf numFmtId="173" fontId="73" fillId="47" borderId="0" xfId="0" applyNumberFormat="1" applyFont="1" applyFill="1" applyAlignment="1">
      <alignment vertical="center"/>
    </xf>
    <xf numFmtId="173" fontId="73" fillId="49" borderId="0" xfId="0" applyNumberFormat="1" applyFont="1" applyFill="1" applyAlignment="1">
      <alignment vertical="center"/>
    </xf>
    <xf numFmtId="172" fontId="73" fillId="0" borderId="0" xfId="0" applyNumberFormat="1" applyFont="1" applyAlignment="1">
      <alignment vertical="center"/>
    </xf>
    <xf numFmtId="0" fontId="73" fillId="0" borderId="0" xfId="0" applyFont="1"/>
    <xf numFmtId="172" fontId="64" fillId="0" borderId="0" xfId="9" applyNumberFormat="1" applyFont="1" applyAlignment="1">
      <alignment vertical="center"/>
    </xf>
    <xf numFmtId="44" fontId="69" fillId="47" borderId="0" xfId="0" applyNumberFormat="1" applyFont="1" applyFill="1"/>
    <xf numFmtId="0" fontId="0" fillId="49" borderId="0" xfId="0" applyFill="1" applyAlignment="1">
      <alignment vertical="center"/>
    </xf>
    <xf numFmtId="173" fontId="65" fillId="47" borderId="0" xfId="0" applyNumberFormat="1" applyFont="1" applyFill="1" applyAlignment="1">
      <alignment vertical="center"/>
    </xf>
    <xf numFmtId="173" fontId="68" fillId="8" borderId="1" xfId="2" applyNumberFormat="1" applyFont="1" applyFill="1" applyBorder="1" applyAlignment="1">
      <alignment vertical="center"/>
    </xf>
    <xf numFmtId="173" fontId="68" fillId="11" borderId="3" xfId="2" applyNumberFormat="1" applyFont="1" applyFill="1" applyBorder="1" applyAlignment="1">
      <alignment vertical="center"/>
    </xf>
    <xf numFmtId="173" fontId="68" fillId="8" borderId="3" xfId="2" applyNumberFormat="1" applyFont="1" applyFill="1" applyBorder="1" applyAlignment="1">
      <alignment vertical="center"/>
    </xf>
    <xf numFmtId="173" fontId="0" fillId="11" borderId="1" xfId="2" applyNumberFormat="1" applyFont="1" applyFill="1" applyBorder="1" applyAlignment="1">
      <alignment vertical="center"/>
    </xf>
    <xf numFmtId="173" fontId="72" fillId="12" borderId="1" xfId="2" applyNumberFormat="1" applyFont="1" applyFill="1" applyBorder="1" applyAlignment="1">
      <alignment vertical="center" wrapText="1"/>
    </xf>
    <xf numFmtId="0" fontId="0" fillId="0" borderId="3" xfId="0" applyBorder="1" applyAlignment="1">
      <alignment horizontal="justify" vertical="center" wrapText="1"/>
    </xf>
    <xf numFmtId="173" fontId="0" fillId="3" borderId="1" xfId="2" applyNumberFormat="1" applyFont="1" applyFill="1" applyBorder="1" applyAlignment="1">
      <alignment vertical="center"/>
    </xf>
    <xf numFmtId="173" fontId="71" fillId="3" borderId="1" xfId="2" applyNumberFormat="1" applyFont="1" applyFill="1" applyBorder="1" applyAlignment="1">
      <alignment vertical="center"/>
    </xf>
    <xf numFmtId="173" fontId="68" fillId="3" borderId="1" xfId="2" applyNumberFormat="1" applyFont="1" applyFill="1" applyBorder="1" applyAlignment="1">
      <alignment vertical="center"/>
    </xf>
    <xf numFmtId="0" fontId="45" fillId="25" borderId="1" xfId="0" applyFont="1" applyFill="1" applyBorder="1" applyAlignment="1">
      <alignment horizontal="center" vertical="center" wrapText="1"/>
    </xf>
    <xf numFmtId="0" fontId="5" fillId="3" borderId="1" xfId="0" applyFont="1" applyFill="1" applyBorder="1" applyAlignment="1">
      <alignment horizontal="left" wrapText="1"/>
    </xf>
    <xf numFmtId="0" fontId="45" fillId="3" borderId="1" xfId="0" applyFont="1" applyFill="1" applyBorder="1" applyAlignment="1">
      <alignment vertical="center" wrapText="1"/>
    </xf>
    <xf numFmtId="17" fontId="52" fillId="0" borderId="1" xfId="1293" applyNumberFormat="1" applyFont="1" applyFill="1" applyBorder="1" applyAlignment="1">
      <alignment horizontal="center" vertical="center"/>
    </xf>
    <xf numFmtId="0" fontId="52" fillId="0" borderId="1" xfId="1293" applyFont="1" applyFill="1" applyBorder="1" applyAlignment="1">
      <alignment horizontal="center" vertical="center"/>
    </xf>
    <xf numFmtId="0" fontId="27" fillId="15" borderId="3"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5" xfId="0" applyFont="1" applyFill="1" applyBorder="1" applyAlignment="1">
      <alignment horizontal="center" vertical="center" wrapText="1"/>
    </xf>
    <xf numFmtId="0" fontId="25" fillId="0" borderId="0" xfId="0" applyFont="1" applyBorder="1" applyAlignment="1">
      <alignment horizontal="center" vertical="center"/>
    </xf>
    <xf numFmtId="169" fontId="22" fillId="0" borderId="1" xfId="0" applyNumberFormat="1" applyFont="1" applyBorder="1" applyAlignment="1">
      <alignment horizontal="left"/>
    </xf>
    <xf numFmtId="169" fontId="29" fillId="23" borderId="3" xfId="8" applyNumberFormat="1" applyFont="1" applyFill="1" applyBorder="1" applyAlignment="1" applyProtection="1">
      <alignment vertical="center" wrapText="1"/>
    </xf>
    <xf numFmtId="169" fontId="33" fillId="16" borderId="5" xfId="8" applyFont="1" applyFill="1" applyBorder="1" applyAlignment="1" applyProtection="1">
      <alignment horizontal="left" vertical="center" wrapText="1"/>
    </xf>
    <xf numFmtId="0" fontId="41" fillId="12" borderId="1" xfId="0" applyFont="1" applyFill="1" applyBorder="1"/>
    <xf numFmtId="0" fontId="41" fillId="4" borderId="1" xfId="0" applyFont="1" applyFill="1" applyBorder="1"/>
    <xf numFmtId="0" fontId="74" fillId="0" borderId="0" xfId="0" applyFont="1"/>
    <xf numFmtId="0" fontId="74" fillId="0" borderId="7" xfId="0" applyFont="1" applyFill="1" applyBorder="1" applyAlignment="1"/>
    <xf numFmtId="0" fontId="74" fillId="0" borderId="2" xfId="0" applyFont="1" applyFill="1" applyBorder="1" applyAlignment="1"/>
    <xf numFmtId="0" fontId="74" fillId="0" borderId="15" xfId="0" applyFont="1" applyFill="1" applyBorder="1" applyAlignment="1"/>
    <xf numFmtId="0" fontId="74" fillId="0" borderId="0" xfId="0" applyFont="1" applyFill="1" applyBorder="1" applyAlignment="1"/>
    <xf numFmtId="0" fontId="74" fillId="0" borderId="14" xfId="0" applyFont="1" applyFill="1" applyBorder="1" applyAlignment="1"/>
    <xf numFmtId="0" fontId="74" fillId="0" borderId="19" xfId="0" applyFont="1" applyFill="1" applyBorder="1" applyAlignment="1"/>
    <xf numFmtId="0" fontId="30" fillId="0" borderId="3" xfId="0" applyFont="1" applyBorder="1" applyAlignment="1">
      <alignment vertical="center" wrapText="1"/>
    </xf>
    <xf numFmtId="0" fontId="30" fillId="0" borderId="10" xfId="0" applyFont="1" applyBorder="1" applyAlignment="1">
      <alignment vertical="center" wrapText="1"/>
    </xf>
    <xf numFmtId="0" fontId="28" fillId="0" borderId="0" xfId="0" applyFont="1" applyBorder="1" applyAlignment="1">
      <alignment vertical="center"/>
    </xf>
    <xf numFmtId="0" fontId="27" fillId="15" borderId="3" xfId="0" applyFont="1" applyFill="1" applyBorder="1" applyAlignment="1">
      <alignment horizontal="center" vertical="center" wrapText="1"/>
    </xf>
    <xf numFmtId="169" fontId="22" fillId="0" borderId="1" xfId="0" applyNumberFormat="1" applyFont="1" applyBorder="1" applyAlignment="1">
      <alignment horizontal="left"/>
    </xf>
    <xf numFmtId="0" fontId="25" fillId="0" borderId="0" xfId="0" applyFont="1" applyBorder="1" applyAlignment="1">
      <alignment horizontal="center" vertical="center"/>
    </xf>
    <xf numFmtId="0" fontId="32" fillId="15" borderId="6" xfId="0" applyFont="1" applyFill="1" applyBorder="1" applyAlignment="1">
      <alignment horizontal="left" vertical="center" wrapText="1"/>
    </xf>
    <xf numFmtId="0" fontId="32" fillId="15" borderId="5" xfId="0" applyFont="1" applyFill="1" applyBorder="1" applyAlignment="1">
      <alignment horizontal="left" vertical="center" wrapText="1"/>
    </xf>
    <xf numFmtId="0" fontId="32" fillId="3" borderId="3" xfId="0" applyFont="1" applyFill="1" applyBorder="1" applyAlignment="1">
      <alignment vertical="center" wrapText="1"/>
    </xf>
    <xf numFmtId="169" fontId="75" fillId="15" borderId="16" xfId="8" applyNumberFormat="1" applyFont="1" applyFill="1" applyBorder="1" applyAlignment="1" applyProtection="1">
      <alignment horizontal="center" vertical="center"/>
    </xf>
    <xf numFmtId="169" fontId="75" fillId="15" borderId="16" xfId="8" applyNumberFormat="1" applyFont="1" applyFill="1" applyBorder="1" applyAlignment="1" applyProtection="1">
      <alignment horizontal="center" vertical="center" wrapText="1"/>
    </xf>
    <xf numFmtId="169" fontId="62" fillId="26" borderId="17" xfId="8" applyNumberFormat="1" applyFont="1" applyFill="1" applyBorder="1" applyAlignment="1" applyProtection="1">
      <alignment horizontal="center" vertical="center" wrapText="1"/>
    </xf>
    <xf numFmtId="169" fontId="62" fillId="8" borderId="1" xfId="9" applyNumberFormat="1" applyFont="1" applyFill="1" applyBorder="1" applyAlignment="1">
      <alignment vertical="center"/>
    </xf>
    <xf numFmtId="169" fontId="62" fillId="27" borderId="1" xfId="8" applyNumberFormat="1" applyFont="1" applyFill="1" applyBorder="1" applyAlignment="1" applyProtection="1">
      <alignment horizontal="center" vertical="center" wrapText="1"/>
    </xf>
    <xf numFmtId="169" fontId="52" fillId="15" borderId="3" xfId="8" applyNumberFormat="1" applyFont="1" applyFill="1" applyBorder="1" applyAlignment="1" applyProtection="1">
      <alignment horizontal="center" vertical="center"/>
    </xf>
    <xf numFmtId="169" fontId="75" fillId="15" borderId="3" xfId="8" applyNumberFormat="1" applyFont="1" applyFill="1" applyBorder="1" applyAlignment="1" applyProtection="1">
      <alignment horizontal="center" vertical="center"/>
    </xf>
    <xf numFmtId="169" fontId="75" fillId="15" borderId="3" xfId="8" applyNumberFormat="1" applyFont="1" applyFill="1" applyBorder="1" applyAlignment="1" applyProtection="1">
      <alignment horizontal="center" vertical="center" wrapText="1"/>
    </xf>
    <xf numFmtId="169" fontId="62" fillId="11" borderId="1" xfId="9" applyNumberFormat="1" applyFont="1" applyFill="1" applyBorder="1" applyAlignment="1">
      <alignment vertical="center"/>
    </xf>
    <xf numFmtId="169" fontId="62" fillId="26" borderId="1" xfId="8" applyNumberFormat="1" applyFont="1" applyFill="1" applyBorder="1" applyAlignment="1" applyProtection="1">
      <alignment horizontal="center" vertical="center"/>
    </xf>
    <xf numFmtId="169" fontId="62" fillId="26" borderId="1" xfId="8" applyNumberFormat="1" applyFont="1" applyFill="1" applyBorder="1" applyAlignment="1" applyProtection="1">
      <alignment horizontal="center" vertical="center" wrapText="1"/>
    </xf>
    <xf numFmtId="169" fontId="52" fillId="15" borderId="10" xfId="8" applyNumberFormat="1" applyFont="1" applyFill="1" applyBorder="1" applyAlignment="1" applyProtection="1">
      <alignment horizontal="center" vertical="center"/>
    </xf>
    <xf numFmtId="169" fontId="75" fillId="15" borderId="10" xfId="8" applyNumberFormat="1" applyFont="1" applyFill="1" applyBorder="1" applyAlignment="1" applyProtection="1">
      <alignment horizontal="center" vertical="center"/>
    </xf>
    <xf numFmtId="169" fontId="75" fillId="15" borderId="10" xfId="8" applyNumberFormat="1" applyFont="1" applyFill="1" applyBorder="1" applyAlignment="1" applyProtection="1">
      <alignment horizontal="center" vertical="center" wrapText="1"/>
    </xf>
    <xf numFmtId="169" fontId="62" fillId="11" borderId="5" xfId="9" applyNumberFormat="1" applyFont="1" applyFill="1" applyBorder="1" applyAlignment="1">
      <alignment vertical="center"/>
    </xf>
    <xf numFmtId="169" fontId="52" fillId="3" borderId="1" xfId="9" applyNumberFormat="1" applyFont="1" applyFill="1" applyBorder="1" applyAlignment="1">
      <alignment vertical="center"/>
    </xf>
    <xf numFmtId="169" fontId="75" fillId="3" borderId="5" xfId="9" applyNumberFormat="1" applyFont="1" applyFill="1" applyBorder="1" applyAlignment="1">
      <alignment vertical="center"/>
    </xf>
    <xf numFmtId="169" fontId="75" fillId="15" borderId="1" xfId="8" applyNumberFormat="1" applyFont="1" applyFill="1" applyBorder="1" applyAlignment="1" applyProtection="1">
      <alignment horizontal="center" vertical="center" wrapText="1"/>
    </xf>
    <xf numFmtId="169" fontId="46" fillId="27" borderId="1" xfId="8" applyNumberFormat="1" applyFont="1" applyFill="1" applyBorder="1" applyAlignment="1" applyProtection="1">
      <alignment horizontal="center" vertical="center" wrapText="1"/>
    </xf>
    <xf numFmtId="169" fontId="62" fillId="12" borderId="10" xfId="9" applyNumberFormat="1" applyFont="1" applyFill="1" applyBorder="1" applyAlignment="1">
      <alignment vertical="center"/>
    </xf>
    <xf numFmtId="169" fontId="52" fillId="0" borderId="1" xfId="9" applyNumberFormat="1" applyFont="1" applyFill="1" applyBorder="1" applyAlignment="1">
      <alignment vertical="center"/>
    </xf>
    <xf numFmtId="169" fontId="52" fillId="15" borderId="1" xfId="8" applyNumberFormat="1" applyFont="1" applyFill="1" applyBorder="1" applyAlignment="1" applyProtection="1">
      <alignment horizontal="center" vertical="center" wrapText="1"/>
    </xf>
    <xf numFmtId="169" fontId="62" fillId="26" borderId="3" xfId="0" applyNumberFormat="1" applyFont="1" applyFill="1" applyBorder="1" applyAlignment="1">
      <alignment vertical="center" wrapText="1"/>
    </xf>
    <xf numFmtId="169" fontId="75" fillId="3" borderId="1" xfId="9" applyNumberFormat="1" applyFont="1" applyFill="1" applyBorder="1" applyAlignment="1">
      <alignment vertical="center"/>
    </xf>
    <xf numFmtId="169" fontId="75" fillId="0" borderId="1" xfId="9" applyNumberFormat="1" applyFont="1" applyFill="1" applyBorder="1" applyAlignment="1">
      <alignment vertical="center"/>
    </xf>
    <xf numFmtId="169" fontId="62" fillId="26" borderId="1" xfId="0" applyNumberFormat="1" applyFont="1" applyFill="1" applyBorder="1" applyAlignment="1">
      <alignment vertical="center" wrapText="1"/>
    </xf>
    <xf numFmtId="169" fontId="75" fillId="0" borderId="10" xfId="8" applyNumberFormat="1" applyFont="1" applyFill="1" applyBorder="1" applyAlignment="1" applyProtection="1">
      <alignment horizontal="center" vertical="center" wrapText="1"/>
    </xf>
    <xf numFmtId="169" fontId="46" fillId="24" borderId="1" xfId="8" applyNumberFormat="1" applyFont="1" applyFill="1" applyBorder="1" applyAlignment="1" applyProtection="1">
      <alignment horizontal="center" vertical="center"/>
    </xf>
    <xf numFmtId="169" fontId="46" fillId="29" borderId="1" xfId="0" applyNumberFormat="1" applyFont="1" applyFill="1" applyBorder="1" applyAlignment="1">
      <alignment horizontal="center" vertical="center" wrapText="1"/>
    </xf>
    <xf numFmtId="169" fontId="76" fillId="15" borderId="1" xfId="8" applyFont="1" applyFill="1" applyBorder="1" applyAlignment="1" applyProtection="1">
      <alignment horizontal="left" vertical="center" wrapText="1"/>
    </xf>
    <xf numFmtId="169" fontId="77" fillId="26" borderId="1" xfId="8" applyFont="1" applyFill="1" applyBorder="1" applyAlignment="1" applyProtection="1">
      <alignment horizontal="left" vertical="center" wrapText="1"/>
    </xf>
    <xf numFmtId="169" fontId="77" fillId="28" borderId="1" xfId="8" applyFont="1" applyFill="1" applyBorder="1" applyAlignment="1" applyProtection="1">
      <alignment horizontal="left" vertical="center"/>
    </xf>
    <xf numFmtId="169" fontId="77" fillId="16" borderId="1" xfId="8" applyFont="1" applyFill="1" applyBorder="1" applyAlignment="1" applyProtection="1">
      <alignment horizontal="left" vertical="center" wrapText="1"/>
    </xf>
    <xf numFmtId="169" fontId="77" fillId="2" borderId="21" xfId="8" applyFont="1" applyFill="1" applyBorder="1" applyAlignment="1" applyProtection="1">
      <alignment horizontal="left" vertical="center"/>
    </xf>
    <xf numFmtId="9" fontId="11" fillId="0" borderId="1" xfId="7" applyFont="1" applyFill="1" applyBorder="1" applyAlignment="1">
      <alignment vertical="center" wrapText="1"/>
    </xf>
    <xf numFmtId="172" fontId="11" fillId="0" borderId="1" xfId="5" applyNumberFormat="1" applyFont="1" applyFill="1" applyBorder="1" applyAlignment="1">
      <alignment vertical="center" wrapText="1"/>
    </xf>
    <xf numFmtId="0" fontId="12" fillId="8" borderId="4" xfId="6" applyFont="1" applyFill="1" applyBorder="1" applyAlignment="1">
      <alignment horizontal="center" vertical="center"/>
    </xf>
    <xf numFmtId="0" fontId="12" fillId="8" borderId="18" xfId="6" applyFont="1" applyFill="1" applyBorder="1" applyAlignment="1">
      <alignment horizontal="center" vertical="center"/>
    </xf>
    <xf numFmtId="0" fontId="12" fillId="8" borderId="5" xfId="6" applyFont="1" applyFill="1" applyBorder="1" applyAlignment="1">
      <alignment horizontal="center" vertical="center"/>
    </xf>
    <xf numFmtId="0" fontId="12" fillId="0" borderId="3" xfId="6" applyFont="1" applyBorder="1" applyAlignment="1">
      <alignment horizontal="center" vertical="center" textRotation="90" wrapText="1"/>
    </xf>
    <xf numFmtId="0" fontId="12" fillId="0" borderId="9" xfId="6" applyFont="1" applyBorder="1" applyAlignment="1">
      <alignment horizontal="center" vertical="center" textRotation="90" wrapText="1"/>
    </xf>
    <xf numFmtId="0" fontId="12" fillId="0" borderId="10" xfId="6" applyFont="1" applyBorder="1" applyAlignment="1">
      <alignment horizontal="center" vertical="center" textRotation="90" wrapText="1"/>
    </xf>
    <xf numFmtId="173" fontId="4" fillId="10" borderId="4" xfId="3" applyNumberFormat="1" applyFont="1" applyFill="1" applyBorder="1" applyAlignment="1">
      <alignment horizontal="center" vertical="center" wrapText="1"/>
    </xf>
    <xf numFmtId="173" fontId="4" fillId="10" borderId="18" xfId="3" applyNumberFormat="1" applyFont="1" applyFill="1" applyBorder="1" applyAlignment="1">
      <alignment horizontal="center" vertical="center" wrapText="1"/>
    </xf>
    <xf numFmtId="173" fontId="4" fillId="10" borderId="5" xfId="3" applyNumberFormat="1" applyFont="1" applyFill="1" applyBorder="1" applyAlignment="1">
      <alignment horizontal="center" vertical="center" wrapText="1"/>
    </xf>
    <xf numFmtId="173" fontId="5" fillId="3" borderId="1" xfId="3" applyNumberFormat="1" applyFont="1" applyFill="1" applyBorder="1" applyAlignment="1">
      <alignment horizontal="center" vertical="center" wrapText="1"/>
    </xf>
    <xf numFmtId="0" fontId="12" fillId="11" borderId="1" xfId="6" applyFont="1" applyFill="1" applyBorder="1" applyAlignment="1">
      <alignment horizontal="center" vertical="center" wrapText="1"/>
    </xf>
    <xf numFmtId="0" fontId="5" fillId="3" borderId="3" xfId="6" applyFont="1" applyFill="1" applyBorder="1" applyAlignment="1">
      <alignment horizontal="center" vertical="center" wrapText="1"/>
    </xf>
    <xf numFmtId="0" fontId="5" fillId="3" borderId="9" xfId="6" applyFont="1" applyFill="1" applyBorder="1" applyAlignment="1">
      <alignment horizontal="center" vertical="center" wrapText="1"/>
    </xf>
    <xf numFmtId="0" fontId="5" fillId="3" borderId="10" xfId="6" applyFont="1" applyFill="1" applyBorder="1" applyAlignment="1">
      <alignment horizontal="center" vertical="center" wrapText="1"/>
    </xf>
    <xf numFmtId="0" fontId="11" fillId="0" borderId="3" xfId="6" applyFont="1" applyBorder="1" applyAlignment="1">
      <alignment horizontal="center" vertical="center" wrapText="1"/>
    </xf>
    <xf numFmtId="0" fontId="11" fillId="0" borderId="9" xfId="6" applyFont="1" applyBorder="1" applyAlignment="1">
      <alignment horizontal="center" vertical="center" wrapText="1"/>
    </xf>
    <xf numFmtId="0" fontId="11" fillId="0" borderId="10" xfId="6" applyFont="1" applyBorder="1" applyAlignment="1">
      <alignment horizontal="center" vertical="center" wrapText="1"/>
    </xf>
    <xf numFmtId="0" fontId="20" fillId="3" borderId="3" xfId="6" applyFont="1" applyFill="1" applyBorder="1" applyAlignment="1">
      <alignment horizontal="center" vertical="center" wrapText="1"/>
    </xf>
    <xf numFmtId="0" fontId="20" fillId="3" borderId="9" xfId="6" applyFont="1" applyFill="1" applyBorder="1" applyAlignment="1">
      <alignment horizontal="center" vertical="center" wrapText="1"/>
    </xf>
    <xf numFmtId="0" fontId="20" fillId="3" borderId="10" xfId="6" applyFont="1" applyFill="1" applyBorder="1" applyAlignment="1">
      <alignment horizontal="center" vertical="center" wrapText="1"/>
    </xf>
    <xf numFmtId="0" fontId="11" fillId="3" borderId="3"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2" fillId="0" borderId="1" xfId="6" applyFont="1" applyBorder="1" applyAlignment="1">
      <alignment horizontal="center" vertical="center" textRotation="90" wrapText="1"/>
    </xf>
    <xf numFmtId="173" fontId="5" fillId="11" borderId="1" xfId="3" applyNumberFormat="1" applyFont="1" applyFill="1" applyBorder="1" applyAlignment="1">
      <alignment vertical="center" textRotation="90" wrapText="1"/>
    </xf>
    <xf numFmtId="0" fontId="11" fillId="0" borderId="1" xfId="6" applyFont="1" applyFill="1" applyBorder="1" applyAlignment="1">
      <alignment vertical="center" textRotation="90" wrapText="1"/>
    </xf>
    <xf numFmtId="173" fontId="5" fillId="11" borderId="1" xfId="3" applyNumberFormat="1" applyFont="1" applyFill="1" applyBorder="1" applyAlignment="1">
      <alignment horizontal="left" vertical="center" textRotation="90" wrapText="1"/>
    </xf>
    <xf numFmtId="0" fontId="11" fillId="0" borderId="1" xfId="6" applyFont="1" applyFill="1" applyBorder="1" applyAlignment="1">
      <alignment horizontal="left" vertical="center" textRotation="90" wrapText="1"/>
    </xf>
    <xf numFmtId="0" fontId="21" fillId="21" borderId="3" xfId="6" applyFont="1" applyFill="1" applyBorder="1" applyAlignment="1">
      <alignment horizontal="center" vertical="center" textRotation="90" wrapText="1"/>
    </xf>
    <xf numFmtId="0" fontId="21" fillId="21" borderId="9" xfId="6" applyFont="1" applyFill="1" applyBorder="1" applyAlignment="1">
      <alignment horizontal="center" vertical="center" textRotation="90" wrapText="1"/>
    </xf>
    <xf numFmtId="0" fontId="21" fillId="21" borderId="10" xfId="6" applyFont="1" applyFill="1" applyBorder="1" applyAlignment="1">
      <alignment horizontal="center" vertical="center" textRotation="90" wrapText="1"/>
    </xf>
    <xf numFmtId="173" fontId="5" fillId="11" borderId="1" xfId="3" applyNumberFormat="1" applyFont="1" applyFill="1" applyBorder="1" applyAlignment="1">
      <alignment horizontal="center" vertical="center" wrapText="1"/>
    </xf>
    <xf numFmtId="0" fontId="11" fillId="3" borderId="10" xfId="6" applyFont="1" applyFill="1" applyBorder="1" applyAlignment="1">
      <alignment horizontal="center" vertical="center" wrapText="1"/>
    </xf>
    <xf numFmtId="0" fontId="4" fillId="0" borderId="3" xfId="6" applyFont="1" applyFill="1" applyBorder="1" applyAlignment="1">
      <alignment horizontal="center" vertical="center" textRotation="90" wrapText="1"/>
    </xf>
    <xf numFmtId="0" fontId="4" fillId="0" borderId="9" xfId="6" applyFont="1" applyFill="1" applyBorder="1" applyAlignment="1">
      <alignment horizontal="center" vertical="center" textRotation="90" wrapText="1"/>
    </xf>
    <xf numFmtId="0" fontId="4" fillId="0" borderId="10" xfId="6" applyFont="1" applyFill="1" applyBorder="1" applyAlignment="1">
      <alignment horizontal="center" vertical="center" textRotation="90" wrapText="1"/>
    </xf>
    <xf numFmtId="0" fontId="4" fillId="10" borderId="1" xfId="6" applyFont="1" applyFill="1" applyBorder="1" applyAlignment="1">
      <alignment horizontal="center" vertical="center" wrapText="1"/>
    </xf>
    <xf numFmtId="173" fontId="11" fillId="12" borderId="1" xfId="3" applyNumberFormat="1" applyFont="1" applyFill="1" applyBorder="1" applyAlignment="1">
      <alignment horizontal="center" vertical="center" wrapText="1"/>
    </xf>
    <xf numFmtId="0" fontId="12" fillId="3" borderId="3" xfId="6" applyFont="1" applyFill="1" applyBorder="1" applyAlignment="1">
      <alignment horizontal="center" vertical="center" textRotation="90" wrapText="1"/>
    </xf>
    <xf numFmtId="0" fontId="12" fillId="3" borderId="9" xfId="6" applyFont="1" applyFill="1" applyBorder="1" applyAlignment="1">
      <alignment horizontal="center" vertical="center" textRotation="90" wrapText="1"/>
    </xf>
    <xf numFmtId="0" fontId="12" fillId="3" borderId="1" xfId="6" applyFont="1" applyFill="1" applyBorder="1" applyAlignment="1">
      <alignment horizontal="center" vertical="center" textRotation="90" wrapText="1"/>
    </xf>
    <xf numFmtId="0" fontId="12" fillId="0" borderId="3" xfId="6" applyFont="1" applyFill="1" applyBorder="1" applyAlignment="1">
      <alignment horizontal="center" vertical="center" textRotation="90"/>
    </xf>
    <xf numFmtId="0" fontId="12" fillId="0" borderId="9" xfId="6" applyFont="1" applyFill="1" applyBorder="1" applyAlignment="1">
      <alignment horizontal="center" vertical="center" textRotation="90"/>
    </xf>
    <xf numFmtId="173" fontId="5" fillId="11" borderId="3" xfId="3" applyNumberFormat="1" applyFont="1" applyFill="1" applyBorder="1" applyAlignment="1">
      <alignment horizontal="center" vertical="center" wrapText="1"/>
    </xf>
    <xf numFmtId="173" fontId="5" fillId="11" borderId="10" xfId="3" applyNumberFormat="1" applyFont="1" applyFill="1" applyBorder="1" applyAlignment="1">
      <alignment horizontal="center" vertical="center" wrapText="1"/>
    </xf>
    <xf numFmtId="0" fontId="21" fillId="21" borderId="3" xfId="6" applyFont="1" applyFill="1" applyBorder="1" applyAlignment="1">
      <alignment horizontal="center" vertical="center" textRotation="90"/>
    </xf>
    <xf numFmtId="0" fontId="21" fillId="21" borderId="9" xfId="6" applyFont="1" applyFill="1" applyBorder="1" applyAlignment="1">
      <alignment horizontal="center" vertical="center" textRotation="90"/>
    </xf>
    <xf numFmtId="0" fontId="21" fillId="21" borderId="10" xfId="6" applyFont="1" applyFill="1" applyBorder="1" applyAlignment="1">
      <alignment horizontal="center" vertical="center" textRotation="90"/>
    </xf>
    <xf numFmtId="173" fontId="11" fillId="11" borderId="1" xfId="3" applyNumberFormat="1" applyFont="1" applyFill="1" applyBorder="1" applyAlignment="1">
      <alignment horizontal="center" vertical="center" textRotation="90"/>
    </xf>
    <xf numFmtId="0" fontId="4" fillId="0" borderId="1" xfId="6" applyFont="1" applyFill="1" applyBorder="1" applyAlignment="1">
      <alignment horizontal="center" vertical="center" textRotation="90" wrapText="1"/>
    </xf>
    <xf numFmtId="0" fontId="12" fillId="11" borderId="4" xfId="6" applyFont="1" applyFill="1" applyBorder="1" applyAlignment="1">
      <alignment horizontal="center" vertical="center" wrapText="1"/>
    </xf>
    <xf numFmtId="0" fontId="12" fillId="11" borderId="18" xfId="6" applyFont="1" applyFill="1" applyBorder="1" applyAlignment="1">
      <alignment horizontal="center" vertical="center" wrapText="1"/>
    </xf>
    <xf numFmtId="0" fontId="12" fillId="11" borderId="5" xfId="6" applyFont="1" applyFill="1" applyBorder="1" applyAlignment="1">
      <alignment horizontal="center" vertical="center" wrapText="1"/>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center" vertical="center" wrapText="1"/>
    </xf>
    <xf numFmtId="0" fontId="12" fillId="0" borderId="0" xfId="6" applyFont="1" applyBorder="1" applyAlignment="1">
      <alignment vertical="center" wrapText="1"/>
    </xf>
    <xf numFmtId="0" fontId="17" fillId="0" borderId="3" xfId="6" applyFont="1" applyBorder="1" applyAlignment="1">
      <alignment horizontal="center" vertical="center" wrapText="1"/>
    </xf>
    <xf numFmtId="0" fontId="17" fillId="0" borderId="10" xfId="6" applyFont="1" applyBorder="1" applyAlignment="1">
      <alignment horizontal="center" vertical="center" wrapText="1"/>
    </xf>
    <xf numFmtId="173" fontId="5" fillId="11" borderId="1" xfId="3" applyNumberFormat="1" applyFont="1" applyFill="1" applyBorder="1" applyAlignment="1">
      <alignment horizontal="center" vertical="center" textRotation="90" wrapText="1"/>
    </xf>
    <xf numFmtId="0" fontId="11" fillId="0" borderId="1" xfId="6" applyFont="1" applyFill="1" applyBorder="1" applyAlignment="1">
      <alignment horizontal="center" vertical="center" textRotation="90" wrapText="1"/>
    </xf>
    <xf numFmtId="0" fontId="12" fillId="0" borderId="1" xfId="6" applyFont="1" applyBorder="1" applyAlignment="1">
      <alignment horizontal="center" vertical="center" textRotation="90"/>
    </xf>
    <xf numFmtId="0" fontId="12" fillId="11" borderId="19" xfId="6" applyFont="1" applyFill="1" applyBorder="1" applyAlignment="1">
      <alignment horizontal="center" vertical="center" wrapText="1"/>
    </xf>
    <xf numFmtId="173" fontId="5" fillId="11" borderId="4" xfId="3" applyNumberFormat="1" applyFont="1" applyFill="1" applyBorder="1" applyAlignment="1">
      <alignment horizontal="center" vertical="center" wrapText="1"/>
    </xf>
    <xf numFmtId="173" fontId="5" fillId="11" borderId="18" xfId="3" applyNumberFormat="1" applyFont="1" applyFill="1" applyBorder="1" applyAlignment="1">
      <alignment horizontal="center" vertical="center" wrapText="1"/>
    </xf>
    <xf numFmtId="173" fontId="5" fillId="11" borderId="5" xfId="3" applyNumberFormat="1" applyFont="1" applyFill="1" applyBorder="1" applyAlignment="1">
      <alignment horizontal="center" vertical="center" wrapText="1"/>
    </xf>
    <xf numFmtId="0" fontId="21" fillId="21" borderId="1" xfId="6" applyFont="1" applyFill="1" applyBorder="1" applyAlignment="1">
      <alignment horizontal="center" vertical="center" textRotation="90"/>
    </xf>
    <xf numFmtId="0" fontId="21" fillId="19" borderId="3" xfId="6" applyFont="1" applyFill="1" applyBorder="1" applyAlignment="1">
      <alignment horizontal="center" vertical="center" textRotation="90"/>
    </xf>
    <xf numFmtId="0" fontId="21" fillId="19" borderId="9" xfId="6" applyFont="1" applyFill="1" applyBorder="1" applyAlignment="1">
      <alignment horizontal="center" vertical="center" textRotation="90"/>
    </xf>
    <xf numFmtId="0" fontId="4" fillId="8" borderId="1" xfId="6" applyFont="1" applyFill="1" applyBorder="1" applyAlignment="1">
      <alignment horizontal="center" vertical="center" wrapText="1"/>
    </xf>
    <xf numFmtId="0" fontId="11" fillId="0" borderId="0" xfId="6" applyFont="1" applyFill="1" applyAlignment="1">
      <alignment horizontal="center" vertical="center"/>
    </xf>
    <xf numFmtId="165" fontId="4" fillId="3" borderId="20" xfId="6" applyNumberFormat="1" applyFont="1" applyFill="1" applyBorder="1" applyAlignment="1" applyProtection="1">
      <alignment horizontal="center" vertical="top" wrapText="1"/>
    </xf>
    <xf numFmtId="165" fontId="4" fillId="3" borderId="0" xfId="6" applyNumberFormat="1" applyFont="1" applyFill="1" applyBorder="1" applyAlignment="1" applyProtection="1">
      <alignment horizontal="center" vertical="top" wrapText="1"/>
    </xf>
    <xf numFmtId="173" fontId="4" fillId="10" borderId="4" xfId="3" applyNumberFormat="1" applyFont="1" applyFill="1" applyBorder="1" applyAlignment="1">
      <alignment horizontal="left" vertical="center" wrapText="1"/>
    </xf>
    <xf numFmtId="173" fontId="4" fillId="10" borderId="18" xfId="3" applyNumberFormat="1" applyFont="1" applyFill="1" applyBorder="1" applyAlignment="1">
      <alignment horizontal="left" vertical="center" wrapText="1"/>
    </xf>
    <xf numFmtId="173" fontId="4" fillId="10" borderId="5" xfId="3" applyNumberFormat="1" applyFont="1" applyFill="1" applyBorder="1" applyAlignment="1">
      <alignment horizontal="left" vertical="center" wrapText="1"/>
    </xf>
    <xf numFmtId="0" fontId="11" fillId="3" borderId="7" xfId="6" applyFont="1" applyFill="1" applyBorder="1" applyAlignment="1">
      <alignment horizontal="center" vertical="center" wrapText="1"/>
    </xf>
    <xf numFmtId="0" fontId="11" fillId="3" borderId="15" xfId="6" applyFont="1" applyFill="1" applyBorder="1" applyAlignment="1">
      <alignment horizontal="center" vertical="center" wrapText="1"/>
    </xf>
    <xf numFmtId="0" fontId="11" fillId="3" borderId="1" xfId="6" applyFont="1" applyFill="1" applyBorder="1" applyAlignment="1">
      <alignment horizontal="center" vertical="center" wrapText="1"/>
    </xf>
    <xf numFmtId="173" fontId="5" fillId="0" borderId="1" xfId="3" applyNumberFormat="1" applyFont="1" applyFill="1" applyBorder="1" applyAlignment="1">
      <alignment horizontal="center" vertical="center" wrapText="1"/>
    </xf>
    <xf numFmtId="0" fontId="11" fillId="0" borderId="3" xfId="6" applyFont="1" applyFill="1" applyBorder="1" applyAlignment="1">
      <alignment horizontal="center" vertical="center" wrapText="1"/>
    </xf>
    <xf numFmtId="0" fontId="11" fillId="0" borderId="10" xfId="6" applyFont="1" applyFill="1" applyBorder="1" applyAlignment="1">
      <alignment horizontal="center" vertical="center" wrapText="1"/>
    </xf>
    <xf numFmtId="0" fontId="12" fillId="11" borderId="14" xfId="6" applyFont="1" applyFill="1" applyBorder="1" applyAlignment="1">
      <alignment horizontal="center" vertical="center" wrapText="1"/>
    </xf>
    <xf numFmtId="0" fontId="12" fillId="11" borderId="8" xfId="6" applyFont="1" applyFill="1" applyBorder="1" applyAlignment="1">
      <alignment horizontal="center" vertical="center" wrapText="1"/>
    </xf>
    <xf numFmtId="0" fontId="4" fillId="10" borderId="4" xfId="6" applyFont="1" applyFill="1" applyBorder="1" applyAlignment="1">
      <alignment horizontal="left" vertical="center" wrapText="1"/>
    </xf>
    <xf numFmtId="0" fontId="4" fillId="10" borderId="18" xfId="6" applyFont="1" applyFill="1" applyBorder="1" applyAlignment="1">
      <alignment horizontal="left" vertical="center" wrapText="1"/>
    </xf>
    <xf numFmtId="0" fontId="4" fillId="10" borderId="5" xfId="6" applyFont="1" applyFill="1" applyBorder="1" applyAlignment="1">
      <alignment horizontal="left" vertical="center" wrapText="1"/>
    </xf>
    <xf numFmtId="172" fontId="12" fillId="4" borderId="1" xfId="5" applyNumberFormat="1" applyFont="1" applyFill="1" applyBorder="1" applyAlignment="1">
      <alignment horizontal="center" vertical="center"/>
    </xf>
    <xf numFmtId="0" fontId="12" fillId="4" borderId="1" xfId="6" applyFont="1" applyFill="1" applyBorder="1" applyAlignment="1">
      <alignment horizontal="center" vertical="center" wrapText="1"/>
    </xf>
    <xf numFmtId="0" fontId="12" fillId="8" borderId="7" xfId="6" applyFont="1" applyFill="1" applyBorder="1" applyAlignment="1">
      <alignment horizontal="center" vertical="center" wrapText="1"/>
    </xf>
    <xf numFmtId="0" fontId="12" fillId="8" borderId="2" xfId="6" applyFont="1" applyFill="1" applyBorder="1" applyAlignment="1">
      <alignment horizontal="center" vertical="center" wrapText="1"/>
    </xf>
    <xf numFmtId="0" fontId="12" fillId="8" borderId="6" xfId="6" applyFont="1" applyFill="1" applyBorder="1" applyAlignment="1">
      <alignment horizontal="center" vertical="center" wrapText="1"/>
    </xf>
    <xf numFmtId="0" fontId="12" fillId="7" borderId="1" xfId="6" applyFont="1" applyFill="1" applyBorder="1" applyAlignment="1">
      <alignment horizontal="center" vertical="center" wrapText="1"/>
    </xf>
    <xf numFmtId="0" fontId="11" fillId="0" borderId="6" xfId="6" applyFont="1" applyFill="1" applyBorder="1" applyAlignment="1">
      <alignment horizontal="center" vertical="center" wrapText="1"/>
    </xf>
    <xf numFmtId="0" fontId="11" fillId="0" borderId="11" xfId="6" applyFont="1" applyFill="1" applyBorder="1" applyAlignment="1">
      <alignment horizontal="center" vertical="center" wrapText="1"/>
    </xf>
    <xf numFmtId="0" fontId="11" fillId="0" borderId="8" xfId="6" applyFont="1" applyFill="1" applyBorder="1" applyAlignment="1">
      <alignment horizontal="center" vertical="center" wrapText="1"/>
    </xf>
    <xf numFmtId="0" fontId="12" fillId="0" borderId="9" xfId="6" applyFont="1" applyBorder="1" applyAlignment="1">
      <alignment horizontal="center" vertical="center" textRotation="90"/>
    </xf>
    <xf numFmtId="0" fontId="12" fillId="0" borderId="10" xfId="6" applyFont="1" applyBorder="1" applyAlignment="1">
      <alignment horizontal="center" vertical="center" textRotation="90"/>
    </xf>
    <xf numFmtId="0" fontId="12" fillId="3" borderId="10" xfId="6" applyFont="1" applyFill="1" applyBorder="1" applyAlignment="1">
      <alignment horizontal="center" vertical="center" textRotation="90" wrapText="1"/>
    </xf>
    <xf numFmtId="173" fontId="4" fillId="0" borderId="3" xfId="3" applyNumberFormat="1" applyFont="1" applyFill="1" applyBorder="1" applyAlignment="1">
      <alignment horizontal="center" vertical="center" textRotation="90" wrapText="1"/>
    </xf>
    <xf numFmtId="173" fontId="4" fillId="0" borderId="9" xfId="3" applyNumberFormat="1" applyFont="1" applyFill="1" applyBorder="1" applyAlignment="1">
      <alignment horizontal="center" vertical="center" textRotation="90" wrapText="1"/>
    </xf>
    <xf numFmtId="173" fontId="4" fillId="0" borderId="10" xfId="3" applyNumberFormat="1" applyFont="1" applyFill="1" applyBorder="1" applyAlignment="1">
      <alignment horizontal="center" vertical="center" textRotation="90" wrapText="1"/>
    </xf>
    <xf numFmtId="173" fontId="4" fillId="0" borderId="1" xfId="3" applyNumberFormat="1" applyFont="1" applyFill="1" applyBorder="1" applyAlignment="1">
      <alignment horizontal="center" vertical="center" textRotation="90" wrapText="1"/>
    </xf>
    <xf numFmtId="0" fontId="13" fillId="0" borderId="9" xfId="6" applyFont="1" applyBorder="1" applyAlignment="1">
      <alignment horizontal="center" vertical="center" textRotation="90" wrapText="1"/>
    </xf>
    <xf numFmtId="0" fontId="13" fillId="0" borderId="10" xfId="6" applyFont="1" applyBorder="1" applyAlignment="1">
      <alignment horizontal="center" vertical="center" textRotation="90" wrapText="1"/>
    </xf>
    <xf numFmtId="0" fontId="13" fillId="0" borderId="1" xfId="6" applyFont="1" applyBorder="1" applyAlignment="1">
      <alignment horizontal="center" vertical="center" textRotation="90" wrapText="1"/>
    </xf>
    <xf numFmtId="0" fontId="12" fillId="6" borderId="3" xfId="6" applyFont="1" applyFill="1" applyBorder="1" applyAlignment="1">
      <alignment horizontal="center" vertical="center" textRotation="90"/>
    </xf>
    <xf numFmtId="0" fontId="12" fillId="6" borderId="9" xfId="6" applyFont="1" applyFill="1" applyBorder="1" applyAlignment="1">
      <alignment horizontal="center" vertical="center" textRotation="90"/>
    </xf>
    <xf numFmtId="0" fontId="12" fillId="6" borderId="10" xfId="6" applyFont="1" applyFill="1" applyBorder="1" applyAlignment="1">
      <alignment horizontal="center" vertical="center" textRotation="90"/>
    </xf>
    <xf numFmtId="0" fontId="4" fillId="8" borderId="4" xfId="6" applyFont="1" applyFill="1" applyBorder="1" applyAlignment="1">
      <alignment horizontal="center" vertical="center" wrapText="1"/>
    </xf>
    <xf numFmtId="0" fontId="4" fillId="8" borderId="18" xfId="6" applyFont="1" applyFill="1" applyBorder="1" applyAlignment="1">
      <alignment horizontal="center" vertical="center" wrapText="1"/>
    </xf>
    <xf numFmtId="0" fontId="4" fillId="8" borderId="5" xfId="6" applyFont="1" applyFill="1" applyBorder="1" applyAlignment="1">
      <alignment horizontal="center" vertical="center" wrapText="1"/>
    </xf>
    <xf numFmtId="0" fontId="12" fillId="0" borderId="10" xfId="6" applyFont="1" applyFill="1" applyBorder="1" applyAlignment="1">
      <alignment horizontal="center" vertical="center" textRotation="90"/>
    </xf>
    <xf numFmtId="0" fontId="21" fillId="19" borderId="10" xfId="6" applyFont="1" applyFill="1" applyBorder="1" applyAlignment="1">
      <alignment horizontal="center" vertical="center" textRotation="90"/>
    </xf>
    <xf numFmtId="0" fontId="12" fillId="0" borderId="1" xfId="6" applyFont="1" applyFill="1" applyBorder="1" applyAlignment="1">
      <alignment horizontal="center" vertical="center" textRotation="90"/>
    </xf>
    <xf numFmtId="0" fontId="21" fillId="20" borderId="1" xfId="6" applyFont="1" applyFill="1" applyBorder="1" applyAlignment="1">
      <alignment horizontal="center" vertical="center" textRotation="90"/>
    </xf>
    <xf numFmtId="173" fontId="4" fillId="3" borderId="3" xfId="3" applyNumberFormat="1" applyFont="1" applyFill="1" applyBorder="1" applyAlignment="1">
      <alignment horizontal="center" vertical="center" textRotation="90" wrapText="1"/>
    </xf>
    <xf numFmtId="173" fontId="4" fillId="3" borderId="9" xfId="3" applyNumberFormat="1" applyFont="1" applyFill="1" applyBorder="1" applyAlignment="1">
      <alignment horizontal="center" vertical="center" textRotation="90" wrapText="1"/>
    </xf>
    <xf numFmtId="173" fontId="4" fillId="3" borderId="10" xfId="3" applyNumberFormat="1" applyFont="1" applyFill="1" applyBorder="1" applyAlignment="1">
      <alignment horizontal="center" vertical="center" textRotation="90" wrapText="1"/>
    </xf>
    <xf numFmtId="0" fontId="5" fillId="3" borderId="1" xfId="6" applyFont="1" applyFill="1" applyBorder="1" applyAlignment="1">
      <alignment horizontal="center" vertical="center" wrapText="1"/>
    </xf>
    <xf numFmtId="0" fontId="12" fillId="8" borderId="1" xfId="6" applyFont="1" applyFill="1" applyBorder="1" applyAlignment="1">
      <alignment horizontal="center" vertical="center"/>
    </xf>
    <xf numFmtId="173" fontId="11" fillId="12" borderId="3" xfId="3" applyNumberFormat="1" applyFont="1" applyFill="1" applyBorder="1" applyAlignment="1">
      <alignment horizontal="center" vertical="center" wrapText="1"/>
    </xf>
    <xf numFmtId="173" fontId="11" fillId="12" borderId="10" xfId="3" applyNumberFormat="1" applyFont="1" applyFill="1" applyBorder="1" applyAlignment="1">
      <alignment horizontal="center" vertical="center" wrapText="1"/>
    </xf>
    <xf numFmtId="173" fontId="11" fillId="12" borderId="7" xfId="3" applyNumberFormat="1" applyFont="1" applyFill="1" applyBorder="1" applyAlignment="1">
      <alignment horizontal="center" vertical="center" wrapText="1"/>
    </xf>
    <xf numFmtId="173" fontId="11" fillId="12" borderId="14" xfId="3" applyNumberFormat="1" applyFont="1" applyFill="1" applyBorder="1" applyAlignment="1">
      <alignment horizontal="center" vertical="center" wrapText="1"/>
    </xf>
    <xf numFmtId="173" fontId="11" fillId="12" borderId="3" xfId="3" applyNumberFormat="1" applyFont="1" applyFill="1" applyBorder="1" applyAlignment="1">
      <alignment horizontal="center" vertical="center"/>
    </xf>
    <xf numFmtId="173" fontId="11" fillId="12" borderId="9" xfId="3" applyNumberFormat="1" applyFont="1" applyFill="1" applyBorder="1" applyAlignment="1">
      <alignment horizontal="center" vertical="center"/>
    </xf>
    <xf numFmtId="0" fontId="11" fillId="0" borderId="9" xfId="6" applyFont="1" applyFill="1" applyBorder="1" applyAlignment="1">
      <alignment horizontal="center" vertical="center" wrapText="1"/>
    </xf>
    <xf numFmtId="173" fontId="12" fillId="18" borderId="9" xfId="3" applyNumberFormat="1" applyFont="1" applyFill="1" applyBorder="1" applyAlignment="1">
      <alignment horizontal="center" vertical="center" wrapText="1"/>
    </xf>
    <xf numFmtId="173" fontId="12" fillId="18" borderId="10" xfId="3" applyNumberFormat="1" applyFont="1" applyFill="1" applyBorder="1" applyAlignment="1">
      <alignment horizontal="center" vertical="center" wrapText="1"/>
    </xf>
    <xf numFmtId="0" fontId="5" fillId="12" borderId="3" xfId="6" applyFont="1" applyFill="1" applyBorder="1" applyAlignment="1">
      <alignment horizontal="center" vertical="center" wrapText="1"/>
    </xf>
    <xf numFmtId="0" fontId="5" fillId="12" borderId="10" xfId="6" applyFont="1" applyFill="1" applyBorder="1" applyAlignment="1">
      <alignment horizontal="center" vertical="center" wrapText="1"/>
    </xf>
    <xf numFmtId="177" fontId="4" fillId="12" borderId="3" xfId="6" applyNumberFormat="1" applyFont="1" applyFill="1" applyBorder="1" applyAlignment="1">
      <alignment horizontal="center" vertical="center" wrapText="1"/>
    </xf>
    <xf numFmtId="177" fontId="4" fillId="12" borderId="10" xfId="6" applyNumberFormat="1" applyFont="1" applyFill="1" applyBorder="1" applyAlignment="1">
      <alignment horizontal="center" vertical="center" wrapText="1"/>
    </xf>
    <xf numFmtId="0" fontId="11" fillId="11" borderId="3" xfId="6" applyFont="1" applyFill="1" applyBorder="1" applyAlignment="1">
      <alignment horizontal="center" vertical="center" wrapText="1"/>
    </xf>
    <xf numFmtId="0" fontId="11" fillId="11" borderId="10" xfId="6" applyFont="1" applyFill="1" applyBorder="1" applyAlignment="1">
      <alignment horizontal="center" vertical="center" wrapText="1"/>
    </xf>
    <xf numFmtId="173" fontId="7" fillId="11" borderId="4" xfId="3" applyNumberFormat="1" applyFont="1" applyFill="1" applyBorder="1" applyAlignment="1">
      <alignment horizontal="center" vertical="center" wrapText="1"/>
    </xf>
    <xf numFmtId="173" fontId="7" fillId="11" borderId="18" xfId="3" applyNumberFormat="1" applyFont="1" applyFill="1" applyBorder="1" applyAlignment="1">
      <alignment horizontal="center" vertical="center" wrapText="1"/>
    </xf>
    <xf numFmtId="173" fontId="7" fillId="11" borderId="5" xfId="3" applyNumberFormat="1" applyFont="1" applyFill="1" applyBorder="1" applyAlignment="1">
      <alignment horizontal="center" vertical="center" wrapText="1"/>
    </xf>
    <xf numFmtId="0" fontId="11" fillId="11" borderId="4" xfId="6" applyFont="1" applyFill="1" applyBorder="1" applyAlignment="1">
      <alignment horizontal="center" vertical="center" wrapText="1"/>
    </xf>
    <xf numFmtId="0" fontId="11" fillId="11" borderId="18" xfId="6" applyFont="1" applyFill="1" applyBorder="1" applyAlignment="1">
      <alignment horizontal="center" vertical="center" wrapText="1"/>
    </xf>
    <xf numFmtId="0" fontId="11" fillId="11" borderId="5" xfId="6" applyFont="1" applyFill="1" applyBorder="1" applyAlignment="1">
      <alignment horizontal="center" vertical="center" wrapText="1"/>
    </xf>
    <xf numFmtId="173" fontId="5" fillId="3" borderId="3" xfId="3" applyNumberFormat="1" applyFont="1" applyFill="1" applyBorder="1" applyAlignment="1">
      <alignment horizontal="center" vertical="center" wrapText="1"/>
    </xf>
    <xf numFmtId="173" fontId="5" fillId="3" borderId="10" xfId="3" applyNumberFormat="1" applyFont="1" applyFill="1" applyBorder="1" applyAlignment="1">
      <alignment horizontal="center" vertical="center" wrapText="1"/>
    </xf>
    <xf numFmtId="0" fontId="34" fillId="25" borderId="1" xfId="0" applyFont="1" applyFill="1" applyBorder="1" applyAlignment="1">
      <alignment horizontal="left" vertical="center"/>
    </xf>
    <xf numFmtId="0" fontId="34" fillId="25" borderId="4" xfId="0" applyFont="1" applyFill="1" applyBorder="1" applyAlignment="1">
      <alignment horizontal="left" vertical="center" wrapText="1"/>
    </xf>
    <xf numFmtId="0" fontId="34" fillId="25" borderId="18" xfId="0" applyFont="1" applyFill="1" applyBorder="1" applyAlignment="1">
      <alignment horizontal="left" vertical="center" wrapText="1"/>
    </xf>
    <xf numFmtId="0" fontId="34" fillId="25" borderId="5" xfId="0" applyFont="1" applyFill="1" applyBorder="1" applyAlignment="1">
      <alignment horizontal="left" vertical="center" wrapText="1"/>
    </xf>
    <xf numFmtId="0" fontId="35" fillId="25" borderId="1" xfId="0" applyFont="1" applyFill="1" applyBorder="1" applyAlignment="1">
      <alignment horizontal="left" vertical="center"/>
    </xf>
    <xf numFmtId="0" fontId="35" fillId="25" borderId="4" xfId="0" applyFont="1" applyFill="1" applyBorder="1" applyAlignment="1">
      <alignment horizontal="left" vertical="center"/>
    </xf>
    <xf numFmtId="0" fontId="35" fillId="25" borderId="18" xfId="0" applyFont="1" applyFill="1" applyBorder="1" applyAlignment="1">
      <alignment horizontal="left" vertical="center"/>
    </xf>
    <xf numFmtId="0" fontId="35" fillId="25" borderId="5" xfId="0" applyFont="1" applyFill="1" applyBorder="1" applyAlignment="1">
      <alignment horizontal="left" vertical="center"/>
    </xf>
    <xf numFmtId="0" fontId="69" fillId="0" borderId="7" xfId="0" applyFont="1" applyFill="1" applyBorder="1" applyAlignment="1">
      <alignment horizontal="center" vertical="center" wrapText="1"/>
    </xf>
    <xf numFmtId="0" fontId="69" fillId="0" borderId="2"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15"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19" xfId="0" applyFont="1" applyFill="1" applyBorder="1" applyAlignment="1">
      <alignment horizontal="center" vertical="center" wrapText="1"/>
    </xf>
    <xf numFmtId="0" fontId="69" fillId="0" borderId="8" xfId="0" applyFont="1" applyFill="1" applyBorder="1" applyAlignment="1">
      <alignment horizontal="center" vertical="center" wrapText="1"/>
    </xf>
    <xf numFmtId="0" fontId="22" fillId="0" borderId="1" xfId="0" applyFont="1" applyFill="1" applyBorder="1" applyAlignment="1">
      <alignment horizontal="left" vertical="center"/>
    </xf>
    <xf numFmtId="169" fontId="22" fillId="0" borderId="1" xfId="8" applyFont="1" applyFill="1" applyBorder="1" applyAlignment="1" applyProtection="1">
      <alignment horizontal="left" vertical="center" wrapText="1"/>
    </xf>
    <xf numFmtId="0" fontId="34" fillId="25" borderId="4" xfId="0" applyFont="1" applyFill="1" applyBorder="1" applyAlignment="1">
      <alignment horizontal="left" vertical="center"/>
    </xf>
    <xf numFmtId="0" fontId="34" fillId="25" borderId="18" xfId="0" applyFont="1" applyFill="1" applyBorder="1" applyAlignment="1">
      <alignment horizontal="left" vertical="center"/>
    </xf>
    <xf numFmtId="0" fontId="34" fillId="25" borderId="5" xfId="0" applyFont="1" applyFill="1" applyBorder="1" applyAlignment="1">
      <alignment horizontal="left" vertical="center"/>
    </xf>
    <xf numFmtId="171" fontId="29" fillId="23" borderId="3" xfId="2" applyNumberFormat="1" applyFont="1" applyFill="1" applyBorder="1" applyAlignment="1" applyProtection="1">
      <alignment horizontal="center" vertical="center" wrapText="1"/>
    </xf>
    <xf numFmtId="171" fontId="29" fillId="23" borderId="10" xfId="2" applyNumberFormat="1" applyFont="1" applyFill="1" applyBorder="1" applyAlignment="1" applyProtection="1">
      <alignment horizontal="center" vertical="center" wrapText="1"/>
    </xf>
    <xf numFmtId="169" fontId="29" fillId="23" borderId="4" xfId="8" applyNumberFormat="1" applyFont="1" applyFill="1" applyBorder="1" applyAlignment="1" applyProtection="1">
      <alignment horizontal="center" vertical="center" wrapText="1"/>
    </xf>
    <xf numFmtId="169" fontId="29" fillId="23" borderId="18" xfId="8" applyNumberFormat="1" applyFont="1" applyFill="1" applyBorder="1" applyAlignment="1" applyProtection="1">
      <alignment horizontal="center" vertical="center" wrapText="1"/>
    </xf>
    <xf numFmtId="169" fontId="29" fillId="23" borderId="5" xfId="8" applyNumberFormat="1" applyFont="1" applyFill="1" applyBorder="1" applyAlignment="1" applyProtection="1">
      <alignment horizontal="center" vertical="center" wrapText="1"/>
    </xf>
    <xf numFmtId="169" fontId="29" fillId="23" borderId="3" xfId="8" applyNumberFormat="1" applyFont="1" applyFill="1" applyBorder="1" applyAlignment="1" applyProtection="1">
      <alignment horizontal="center" vertical="center" wrapText="1"/>
    </xf>
    <xf numFmtId="169" fontId="29" fillId="23" borderId="22" xfId="8" applyNumberFormat="1" applyFont="1" applyFill="1" applyBorder="1" applyAlignment="1" applyProtection="1">
      <alignment horizontal="center" vertical="center" wrapText="1"/>
    </xf>
    <xf numFmtId="0" fontId="33" fillId="12" borderId="4" xfId="0" applyFont="1" applyFill="1" applyBorder="1" applyAlignment="1">
      <alignment horizontal="left" vertical="center" wrapText="1"/>
    </xf>
    <xf numFmtId="0" fontId="33" fillId="12" borderId="18" xfId="0" applyFont="1" applyFill="1" applyBorder="1" applyAlignment="1">
      <alignment horizontal="left" vertical="center" wrapText="1"/>
    </xf>
    <xf numFmtId="0" fontId="33" fillId="12" borderId="5" xfId="0" applyFont="1" applyFill="1" applyBorder="1" applyAlignment="1">
      <alignment horizontal="left" vertical="center" wrapText="1"/>
    </xf>
    <xf numFmtId="0" fontId="30" fillId="0" borderId="3" xfId="0" applyFont="1" applyBorder="1" applyAlignment="1">
      <alignment horizontal="center" vertical="center" wrapText="1"/>
    </xf>
    <xf numFmtId="0" fontId="30" fillId="0" borderId="10" xfId="0" applyFont="1" applyBorder="1" applyAlignment="1">
      <alignment horizontal="center" vertical="center" wrapText="1"/>
    </xf>
    <xf numFmtId="0" fontId="33" fillId="26" borderId="4"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23" xfId="0" applyFont="1" applyFill="1" applyBorder="1" applyAlignment="1">
      <alignment horizontal="center" vertical="center" wrapText="1"/>
    </xf>
    <xf numFmtId="0" fontId="33" fillId="8" borderId="4"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33" fillId="8" borderId="5" xfId="0" applyFont="1" applyFill="1" applyBorder="1" applyAlignment="1">
      <alignment horizontal="center" vertical="center" wrapText="1"/>
    </xf>
    <xf numFmtId="0" fontId="33" fillId="26" borderId="5" xfId="0" applyFont="1" applyFill="1" applyBorder="1" applyAlignment="1">
      <alignment horizontal="center"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6" fillId="0" borderId="3" xfId="0" applyFont="1" applyBorder="1" applyAlignment="1">
      <alignment horizontal="left" vertical="center" wrapText="1"/>
    </xf>
    <xf numFmtId="0" fontId="36" fillId="0" borderId="10" xfId="0" applyFont="1" applyBorder="1" applyAlignment="1">
      <alignment horizontal="left" vertical="center" wrapText="1"/>
    </xf>
    <xf numFmtId="0" fontId="30" fillId="0" borderId="3" xfId="0" applyFont="1" applyBorder="1" applyAlignment="1">
      <alignment horizontal="left" vertical="center" wrapText="1"/>
    </xf>
    <xf numFmtId="0" fontId="30" fillId="26" borderId="14" xfId="0" applyFont="1" applyFill="1" applyBorder="1" applyAlignment="1">
      <alignment horizontal="center" vertical="center" wrapText="1"/>
    </xf>
    <xf numFmtId="0" fontId="30" fillId="26" borderId="19" xfId="0" applyFont="1" applyFill="1" applyBorder="1" applyAlignment="1">
      <alignment horizontal="center" vertical="center" wrapText="1"/>
    </xf>
    <xf numFmtId="0" fontId="30" fillId="26" borderId="8"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39" fillId="8" borderId="18"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30"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0" fontId="33" fillId="26" borderId="1" xfId="0" applyFont="1" applyFill="1" applyBorder="1" applyAlignment="1">
      <alignment horizontal="center" vertical="center" wrapText="1"/>
    </xf>
    <xf numFmtId="0" fontId="30" fillId="0" borderId="3" xfId="0" applyFont="1" applyFill="1" applyBorder="1" applyAlignment="1">
      <alignment horizontal="center" wrapText="1"/>
    </xf>
    <xf numFmtId="0" fontId="30" fillId="0" borderId="9" xfId="0" applyFont="1" applyFill="1" applyBorder="1" applyAlignment="1">
      <alignment horizontal="center" wrapText="1"/>
    </xf>
    <xf numFmtId="0" fontId="30" fillId="0" borderId="10" xfId="0" applyFont="1" applyFill="1" applyBorder="1" applyAlignment="1">
      <alignment horizontal="center" wrapText="1"/>
    </xf>
    <xf numFmtId="169" fontId="22" fillId="0" borderId="1" xfId="0" applyNumberFormat="1" applyFont="1" applyBorder="1" applyAlignment="1">
      <alignment horizontal="left"/>
    </xf>
    <xf numFmtId="0" fontId="23" fillId="0" borderId="1" xfId="0" applyFont="1" applyFill="1" applyBorder="1" applyAlignment="1">
      <alignment horizontal="left" vertical="center"/>
    </xf>
    <xf numFmtId="0" fontId="23" fillId="0" borderId="4" xfId="0" applyFont="1" applyFill="1" applyBorder="1" applyAlignment="1">
      <alignment horizontal="left" vertical="center"/>
    </xf>
    <xf numFmtId="0" fontId="23" fillId="0" borderId="18" xfId="0" applyFont="1" applyFill="1" applyBorder="1" applyAlignment="1">
      <alignment horizontal="left" vertical="center"/>
    </xf>
    <xf numFmtId="169" fontId="22" fillId="0" borderId="1" xfId="8" applyNumberFormat="1" applyFont="1" applyBorder="1" applyAlignment="1" applyProtection="1">
      <alignment horizontal="left" vertical="center" wrapText="1"/>
    </xf>
    <xf numFmtId="0" fontId="33" fillId="24" borderId="1" xfId="0" applyFont="1" applyFill="1" applyBorder="1" applyAlignment="1">
      <alignment horizontal="left" vertical="center" wrapText="1"/>
    </xf>
    <xf numFmtId="0" fontId="40" fillId="12" borderId="1" xfId="0" applyFont="1" applyFill="1" applyBorder="1" applyAlignment="1">
      <alignment horizontal="left" vertical="center"/>
    </xf>
    <xf numFmtId="0" fontId="24" fillId="0" borderId="1" xfId="0" applyFont="1" applyFill="1" applyBorder="1" applyAlignment="1">
      <alignment horizontal="left" vertical="center"/>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2" fillId="0" borderId="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7" fillId="15" borderId="3" xfId="0" applyFont="1" applyFill="1" applyBorder="1" applyAlignment="1">
      <alignment horizontal="center" vertical="center" wrapText="1"/>
    </xf>
    <xf numFmtId="0" fontId="27" fillId="15" borderId="9" xfId="0" applyFont="1" applyFill="1" applyBorder="1" applyAlignment="1">
      <alignment horizontal="center" vertical="center" wrapText="1"/>
    </xf>
    <xf numFmtId="0" fontId="27" fillId="15" borderId="10" xfId="0" applyFont="1" applyFill="1" applyBorder="1" applyAlignment="1">
      <alignment horizontal="center" vertical="center" wrapText="1"/>
    </xf>
    <xf numFmtId="171" fontId="25" fillId="0" borderId="0" xfId="2" applyNumberFormat="1" applyFont="1" applyBorder="1" applyAlignment="1" applyProtection="1">
      <alignment horizontal="center" vertical="center"/>
    </xf>
    <xf numFmtId="169" fontId="25" fillId="0" borderId="0" xfId="8" applyNumberFormat="1" applyFont="1" applyBorder="1" applyAlignment="1" applyProtection="1">
      <alignment horizontal="center" vertical="center"/>
    </xf>
    <xf numFmtId="0" fontId="31" fillId="0" borderId="0" xfId="0" applyFont="1" applyAlignment="1">
      <alignment horizontal="center"/>
    </xf>
    <xf numFmtId="0" fontId="28" fillId="0" borderId="0" xfId="0" applyFont="1" applyBorder="1" applyAlignment="1">
      <alignment horizontal="center" vertical="center"/>
    </xf>
    <xf numFmtId="169" fontId="25" fillId="0" borderId="0" xfId="0" applyNumberFormat="1" applyFont="1" applyAlignment="1">
      <alignment horizontal="center"/>
    </xf>
    <xf numFmtId="0" fontId="22" fillId="17" borderId="3" xfId="0" applyFont="1" applyFill="1" applyBorder="1" applyAlignment="1">
      <alignment horizontal="center" vertical="center" wrapText="1"/>
    </xf>
    <xf numFmtId="0" fontId="22" fillId="17" borderId="9" xfId="0" applyFont="1" applyFill="1" applyBorder="1" applyAlignment="1">
      <alignment horizontal="center" vertical="center" wrapText="1"/>
    </xf>
    <xf numFmtId="0" fontId="25" fillId="26" borderId="1" xfId="0" applyFont="1" applyFill="1" applyBorder="1" applyAlignment="1">
      <alignment horizontal="center" vertical="center" wrapText="1"/>
    </xf>
    <xf numFmtId="0" fontId="63" fillId="8" borderId="14" xfId="0" applyFont="1" applyFill="1" applyBorder="1" applyAlignment="1">
      <alignment horizontal="center" vertical="center"/>
    </xf>
    <xf numFmtId="0" fontId="63" fillId="8" borderId="19" xfId="0" applyFont="1" applyFill="1" applyBorder="1" applyAlignment="1">
      <alignment horizontal="center" vertical="center"/>
    </xf>
    <xf numFmtId="0" fontId="63" fillId="8" borderId="8" xfId="0" applyFont="1" applyFill="1" applyBorder="1" applyAlignment="1">
      <alignment horizontal="center" vertical="center"/>
    </xf>
    <xf numFmtId="0" fontId="39" fillId="16" borderId="4" xfId="0" applyFont="1" applyFill="1" applyBorder="1" applyAlignment="1">
      <alignment horizontal="center" vertical="center" wrapText="1"/>
    </xf>
    <xf numFmtId="0" fontId="39" fillId="16" borderId="18" xfId="0" applyFont="1" applyFill="1" applyBorder="1" applyAlignment="1">
      <alignment horizontal="center" vertical="center" wrapText="1"/>
    </xf>
    <xf numFmtId="0" fontId="39" fillId="16" borderId="5"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46" fillId="0" borderId="0" xfId="0" applyFont="1" applyBorder="1" applyAlignment="1">
      <alignment horizontal="center" vertical="center"/>
    </xf>
    <xf numFmtId="0" fontId="45" fillId="25" borderId="4" xfId="0" applyFont="1" applyFill="1" applyBorder="1" applyAlignment="1">
      <alignment horizontal="left" vertical="center"/>
    </xf>
    <xf numFmtId="0" fontId="45" fillId="25" borderId="18" xfId="0" applyFont="1" applyFill="1" applyBorder="1" applyAlignment="1">
      <alignment horizontal="left" vertical="center"/>
    </xf>
    <xf numFmtId="0" fontId="45" fillId="25" borderId="5" xfId="0" applyFont="1" applyFill="1" applyBorder="1" applyAlignment="1">
      <alignment horizontal="left" vertical="center"/>
    </xf>
    <xf numFmtId="0" fontId="48" fillId="25" borderId="4"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45" fillId="25" borderId="14" xfId="0" applyFont="1" applyFill="1" applyBorder="1" applyAlignment="1">
      <alignment horizontal="left" vertical="center"/>
    </xf>
    <xf numFmtId="0" fontId="45" fillId="25" borderId="19" xfId="0" applyFont="1" applyFill="1" applyBorder="1" applyAlignment="1">
      <alignment horizontal="left" vertical="center"/>
    </xf>
    <xf numFmtId="0" fontId="45" fillId="25" borderId="8"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50" fillId="0" borderId="10" xfId="0" applyFont="1" applyBorder="1" applyAlignment="1">
      <alignment horizontal="center" vertical="center"/>
    </xf>
    <xf numFmtId="173" fontId="39" fillId="11" borderId="1" xfId="2" applyNumberFormat="1" applyFont="1" applyFill="1" applyBorder="1" applyAlignment="1">
      <alignment horizontal="center" vertical="center" textRotation="90" wrapText="1" readingOrder="1"/>
    </xf>
    <xf numFmtId="0" fontId="51" fillId="30" borderId="3" xfId="0" applyFont="1" applyFill="1" applyBorder="1" applyAlignment="1">
      <alignment horizontal="center" vertical="center" textRotation="90" wrapText="1"/>
    </xf>
    <xf numFmtId="0" fontId="51" fillId="30" borderId="9" xfId="0" applyFont="1" applyFill="1" applyBorder="1" applyAlignment="1">
      <alignment horizontal="center" vertical="center" textRotation="90" wrapText="1"/>
    </xf>
    <xf numFmtId="0" fontId="51" fillId="30" borderId="10" xfId="0" applyFont="1" applyFill="1" applyBorder="1" applyAlignment="1">
      <alignment horizontal="center" vertical="center" textRotation="90" wrapText="1"/>
    </xf>
    <xf numFmtId="0" fontId="53" fillId="33" borderId="4" xfId="0" applyFont="1" applyFill="1" applyBorder="1" applyAlignment="1">
      <alignment horizontal="center" vertical="center" wrapText="1"/>
    </xf>
    <xf numFmtId="0" fontId="53" fillId="33" borderId="18" xfId="0" applyFont="1" applyFill="1" applyBorder="1" applyAlignment="1">
      <alignment horizontal="center" vertical="center" wrapText="1"/>
    </xf>
    <xf numFmtId="0" fontId="53" fillId="33" borderId="5" xfId="0" applyFont="1" applyFill="1" applyBorder="1" applyAlignment="1">
      <alignment horizontal="center" vertical="center" wrapText="1"/>
    </xf>
    <xf numFmtId="173" fontId="39" fillId="11" borderId="10" xfId="2" applyNumberFormat="1" applyFont="1" applyFill="1" applyBorder="1" applyAlignment="1">
      <alignment horizontal="center" vertical="center" textRotation="90" wrapText="1" readingOrder="1"/>
    </xf>
    <xf numFmtId="173" fontId="39" fillId="11" borderId="1"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readingOrder="1"/>
    </xf>
    <xf numFmtId="173" fontId="39" fillId="11" borderId="10"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xf>
    <xf numFmtId="173" fontId="39" fillId="11" borderId="10" xfId="2" applyNumberFormat="1" applyFont="1" applyFill="1" applyBorder="1" applyAlignment="1">
      <alignment horizontal="center" vertical="center" wrapText="1"/>
    </xf>
    <xf numFmtId="0" fontId="53" fillId="31" borderId="4"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177" fontId="24" fillId="12" borderId="4" xfId="0" applyNumberFormat="1" applyFont="1" applyFill="1" applyBorder="1" applyAlignment="1">
      <alignment horizontal="center" vertical="center" wrapText="1"/>
    </xf>
    <xf numFmtId="177" fontId="24" fillId="12" borderId="5"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14" fontId="23" fillId="12" borderId="3" xfId="0" applyNumberFormat="1" applyFont="1" applyFill="1" applyBorder="1" applyAlignment="1">
      <alignment horizontal="center" vertical="center" wrapText="1"/>
    </xf>
    <xf numFmtId="14" fontId="23" fillId="12" borderId="9" xfId="0" applyNumberFormat="1"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3" fillId="12" borderId="9" xfId="0" applyFont="1" applyFill="1" applyBorder="1" applyAlignment="1">
      <alignment horizontal="center" vertical="center" wrapText="1"/>
    </xf>
    <xf numFmtId="0" fontId="23" fillId="12" borderId="1" xfId="0" applyFont="1" applyFill="1" applyBorder="1" applyAlignment="1">
      <alignment horizontal="center" vertical="center" wrapText="1"/>
    </xf>
    <xf numFmtId="173" fontId="33" fillId="11" borderId="4" xfId="2" applyNumberFormat="1" applyFont="1" applyFill="1" applyBorder="1" applyAlignment="1">
      <alignment horizontal="center" vertical="center" wrapText="1"/>
    </xf>
    <xf numFmtId="173" fontId="33" fillId="11" borderId="18" xfId="2" applyNumberFormat="1" applyFont="1" applyFill="1" applyBorder="1" applyAlignment="1">
      <alignment horizontal="center" vertical="center" wrapText="1"/>
    </xf>
    <xf numFmtId="173" fontId="33" fillId="11" borderId="5" xfId="2" applyNumberFormat="1" applyFont="1" applyFill="1" applyBorder="1" applyAlignment="1">
      <alignment horizontal="center" vertical="center" wrapText="1"/>
    </xf>
    <xf numFmtId="173" fontId="33" fillId="11" borderId="3" xfId="2" applyNumberFormat="1" applyFont="1" applyFill="1" applyBorder="1" applyAlignment="1">
      <alignment horizontal="center" vertical="center" wrapText="1"/>
    </xf>
    <xf numFmtId="173" fontId="33" fillId="11" borderId="10" xfId="2" applyNumberFormat="1" applyFont="1" applyFill="1" applyBorder="1" applyAlignment="1">
      <alignment horizontal="center" vertical="center" wrapText="1"/>
    </xf>
    <xf numFmtId="173" fontId="49" fillId="11" borderId="3" xfId="2" applyNumberFormat="1" applyFont="1" applyFill="1" applyBorder="1" applyAlignment="1">
      <alignment horizontal="left" vertical="center" wrapText="1"/>
    </xf>
    <xf numFmtId="173" fontId="49" fillId="11" borderId="10" xfId="2" applyNumberFormat="1" applyFont="1" applyFill="1" applyBorder="1" applyAlignment="1">
      <alignment horizontal="left" vertical="center" wrapText="1"/>
    </xf>
    <xf numFmtId="177" fontId="39" fillId="11" borderId="3" xfId="0" applyNumberFormat="1" applyFont="1" applyFill="1" applyBorder="1" applyAlignment="1">
      <alignment horizontal="center" vertical="center" wrapText="1"/>
    </xf>
    <xf numFmtId="177" fontId="39" fillId="11" borderId="10" xfId="0" applyNumberFormat="1" applyFont="1" applyFill="1" applyBorder="1" applyAlignment="1">
      <alignment horizontal="center" vertical="center" wrapText="1"/>
    </xf>
    <xf numFmtId="0" fontId="33" fillId="11" borderId="3" xfId="0" applyFont="1" applyFill="1" applyBorder="1" applyAlignment="1">
      <alignment horizontal="center" vertical="center"/>
    </xf>
    <xf numFmtId="0" fontId="33" fillId="11" borderId="10" xfId="0" applyFont="1" applyFill="1" applyBorder="1" applyAlignment="1">
      <alignment horizontal="center" vertical="center"/>
    </xf>
    <xf numFmtId="0" fontId="30" fillId="11" borderId="3" xfId="0" applyFont="1" applyFill="1" applyBorder="1" applyAlignment="1">
      <alignment horizontal="center" vertical="center"/>
    </xf>
    <xf numFmtId="0" fontId="30" fillId="11" borderId="10" xfId="0" applyFont="1" applyFill="1" applyBorder="1" applyAlignment="1">
      <alignment horizontal="center" vertical="center"/>
    </xf>
    <xf numFmtId="0" fontId="53" fillId="33" borderId="1" xfId="0" applyFont="1" applyFill="1" applyBorder="1" applyAlignment="1">
      <alignment horizontal="center" vertical="center" wrapText="1"/>
    </xf>
    <xf numFmtId="0" fontId="51" fillId="33" borderId="1"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48" fillId="40" borderId="4" xfId="0" applyFont="1" applyFill="1" applyBorder="1" applyAlignment="1">
      <alignment horizontal="center" vertical="center"/>
    </xf>
    <xf numFmtId="0" fontId="48" fillId="40" borderId="18" xfId="0" applyFont="1" applyFill="1" applyBorder="1" applyAlignment="1">
      <alignment horizontal="center" vertical="center"/>
    </xf>
    <xf numFmtId="0" fontId="48" fillId="40" borderId="5" xfId="0" applyFont="1" applyFill="1" applyBorder="1" applyAlignment="1">
      <alignment horizontal="center" vertical="center"/>
    </xf>
    <xf numFmtId="0" fontId="45" fillId="25" borderId="9" xfId="0" applyFont="1" applyFill="1" applyBorder="1" applyAlignment="1">
      <alignment horizontal="center" vertical="center" textRotation="90"/>
    </xf>
    <xf numFmtId="0" fontId="51" fillId="30" borderId="1" xfId="0" applyFont="1" applyFill="1" applyBorder="1" applyAlignment="1">
      <alignment horizontal="center" vertical="center" textRotation="90" wrapText="1"/>
    </xf>
    <xf numFmtId="0" fontId="53" fillId="39" borderId="1" xfId="0" applyFont="1" applyFill="1" applyBorder="1" applyAlignment="1">
      <alignment horizontal="center" vertical="center" wrapText="1"/>
    </xf>
    <xf numFmtId="0" fontId="53" fillId="8" borderId="4" xfId="0" applyFont="1" applyFill="1" applyBorder="1" applyAlignment="1">
      <alignment horizontal="center" vertical="center" wrapText="1"/>
    </xf>
    <xf numFmtId="0" fontId="53" fillId="8" borderId="18" xfId="0" applyFont="1" applyFill="1" applyBorder="1" applyAlignment="1">
      <alignment horizontal="center" vertical="center" wrapText="1"/>
    </xf>
    <xf numFmtId="0" fontId="53" fillId="8" borderId="5" xfId="0" applyFont="1" applyFill="1" applyBorder="1" applyAlignment="1">
      <alignment horizontal="center" vertical="center" wrapText="1"/>
    </xf>
    <xf numFmtId="0" fontId="59" fillId="0" borderId="4"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5" xfId="0" applyFont="1" applyFill="1" applyBorder="1" applyAlignment="1">
      <alignment horizontal="left" vertical="center"/>
    </xf>
    <xf numFmtId="0" fontId="53" fillId="12" borderId="1" xfId="0" applyFont="1" applyFill="1" applyBorder="1" applyAlignment="1">
      <alignment horizontal="center" vertical="center" wrapText="1"/>
    </xf>
    <xf numFmtId="0" fontId="48" fillId="41" borderId="1" xfId="0" applyFont="1" applyFill="1" applyBorder="1" applyAlignment="1">
      <alignment horizontal="center" vertical="center"/>
    </xf>
    <xf numFmtId="0" fontId="58" fillId="0" borderId="4" xfId="0" applyFont="1" applyFill="1" applyBorder="1" applyAlignment="1">
      <alignment horizontal="left" vertical="center"/>
    </xf>
    <xf numFmtId="0" fontId="58" fillId="0" borderId="18" xfId="0" applyFont="1" applyFill="1" applyBorder="1" applyAlignment="1">
      <alignment horizontal="left" vertical="center"/>
    </xf>
    <xf numFmtId="0" fontId="58" fillId="0" borderId="5" xfId="0" applyFont="1" applyFill="1" applyBorder="1" applyAlignment="1">
      <alignment horizontal="left" vertical="center"/>
    </xf>
    <xf numFmtId="0" fontId="45" fillId="25" borderId="3" xfId="0" applyFont="1" applyFill="1" applyBorder="1" applyAlignment="1">
      <alignment horizontal="center" vertical="center" textRotation="90"/>
    </xf>
    <xf numFmtId="0" fontId="45" fillId="25" borderId="10" xfId="0" applyFont="1" applyFill="1" applyBorder="1" applyAlignment="1">
      <alignment horizontal="center" vertical="center" textRotation="90"/>
    </xf>
    <xf numFmtId="0" fontId="53" fillId="36" borderId="1" xfId="0" applyFont="1" applyFill="1" applyBorder="1" applyAlignment="1">
      <alignment horizontal="center" vertical="center" wrapText="1"/>
    </xf>
    <xf numFmtId="0" fontId="45" fillId="25" borderId="3" xfId="0" applyFont="1" applyFill="1" applyBorder="1" applyAlignment="1">
      <alignment horizontal="center" vertical="center" textRotation="90" wrapText="1"/>
    </xf>
    <xf numFmtId="0" fontId="45" fillId="25" borderId="9" xfId="0" applyFont="1" applyFill="1" applyBorder="1" applyAlignment="1">
      <alignment horizontal="center" vertical="center" textRotation="90" wrapText="1"/>
    </xf>
    <xf numFmtId="0" fontId="45" fillId="25" borderId="10" xfId="0" applyFont="1" applyFill="1" applyBorder="1" applyAlignment="1">
      <alignment horizontal="center" vertical="center" textRotation="90" wrapText="1"/>
    </xf>
    <xf numFmtId="0" fontId="51" fillId="34" borderId="1" xfId="0" applyFont="1" applyFill="1" applyBorder="1" applyAlignment="1">
      <alignment horizontal="center" vertical="center" textRotation="90" wrapText="1"/>
    </xf>
    <xf numFmtId="177" fontId="24" fillId="3" borderId="26" xfId="0" applyNumberFormat="1" applyFont="1" applyFill="1" applyBorder="1" applyAlignment="1">
      <alignment horizontal="center" vertical="center" wrapText="1"/>
    </xf>
    <xf numFmtId="177" fontId="24" fillId="3" borderId="5" xfId="0" applyNumberFormat="1" applyFont="1" applyFill="1" applyBorder="1" applyAlignment="1">
      <alignment horizontal="center" vertical="center" wrapText="1"/>
    </xf>
    <xf numFmtId="173" fontId="52" fillId="11" borderId="3" xfId="2" applyNumberFormat="1" applyFont="1" applyFill="1" applyBorder="1" applyAlignment="1">
      <alignment horizontal="center" vertical="center" textRotation="90" wrapText="1" readingOrder="1"/>
    </xf>
    <xf numFmtId="173" fontId="52" fillId="11" borderId="10" xfId="2" applyNumberFormat="1" applyFont="1" applyFill="1" applyBorder="1" applyAlignment="1">
      <alignment horizontal="center" vertical="center" textRotation="90" wrapText="1" readingOrder="1"/>
    </xf>
    <xf numFmtId="173" fontId="46" fillId="11" borderId="3" xfId="2" applyNumberFormat="1" applyFont="1" applyFill="1" applyBorder="1" applyAlignment="1">
      <alignment horizontal="center" vertical="center" textRotation="90" wrapText="1" readingOrder="1"/>
    </xf>
    <xf numFmtId="173" fontId="46" fillId="11" borderId="10" xfId="2" applyNumberFormat="1" applyFont="1" applyFill="1" applyBorder="1" applyAlignment="1">
      <alignment horizontal="center" vertical="center" textRotation="90" wrapText="1" readingOrder="1"/>
    </xf>
    <xf numFmtId="173" fontId="24" fillId="11" borderId="3" xfId="2" applyNumberFormat="1" applyFont="1" applyFill="1" applyBorder="1" applyAlignment="1">
      <alignment horizontal="center" vertical="center" wrapText="1" readingOrder="1"/>
    </xf>
    <xf numFmtId="173" fontId="24" fillId="11" borderId="10" xfId="2" applyNumberFormat="1" applyFont="1" applyFill="1" applyBorder="1" applyAlignment="1">
      <alignment horizontal="center" vertical="center" wrapText="1" readingOrder="1"/>
    </xf>
    <xf numFmtId="0" fontId="29" fillId="11" borderId="7" xfId="0" applyFont="1" applyFill="1" applyBorder="1" applyAlignment="1">
      <alignment horizontal="center" vertical="center"/>
    </xf>
    <xf numFmtId="0" fontId="29" fillId="11" borderId="14" xfId="0" applyFont="1" applyFill="1" applyBorder="1" applyAlignment="1">
      <alignment horizontal="center" vertical="center"/>
    </xf>
    <xf numFmtId="177" fontId="24" fillId="12" borderId="26" xfId="0" applyNumberFormat="1" applyFont="1" applyFill="1" applyBorder="1" applyAlignment="1">
      <alignment horizontal="center" vertical="center" wrapText="1"/>
    </xf>
    <xf numFmtId="177" fontId="24" fillId="11" borderId="3" xfId="0" applyNumberFormat="1" applyFont="1" applyFill="1" applyBorder="1" applyAlignment="1">
      <alignment horizontal="center" vertical="center" wrapText="1"/>
    </xf>
    <xf numFmtId="177" fontId="24" fillId="11" borderId="10" xfId="0" applyNumberFormat="1" applyFont="1" applyFill="1" applyBorder="1" applyAlignment="1">
      <alignment horizontal="center" vertical="center" wrapText="1"/>
    </xf>
    <xf numFmtId="0" fontId="25" fillId="11" borderId="3" xfId="0" applyFont="1" applyFill="1" applyBorder="1" applyAlignment="1">
      <alignment horizontal="center" vertical="center"/>
    </xf>
    <xf numFmtId="0" fontId="25" fillId="11" borderId="10" xfId="0" applyFont="1" applyFill="1" applyBorder="1" applyAlignment="1">
      <alignment horizontal="center" vertical="center"/>
    </xf>
    <xf numFmtId="0" fontId="45" fillId="25" borderId="1" xfId="0" applyFont="1" applyFill="1" applyBorder="1" applyAlignment="1">
      <alignment horizontal="center" vertical="center" textRotation="90" wrapText="1"/>
    </xf>
    <xf numFmtId="0" fontId="45" fillId="25" borderId="1" xfId="0" applyFont="1" applyFill="1" applyBorder="1" applyAlignment="1">
      <alignment horizontal="center" vertical="center" textRotation="90"/>
    </xf>
    <xf numFmtId="171" fontId="45" fillId="25" borderId="1" xfId="0" applyNumberFormat="1" applyFont="1" applyFill="1" applyBorder="1" applyAlignment="1">
      <alignment horizontal="center" vertical="center" textRotation="90" wrapText="1"/>
    </xf>
    <xf numFmtId="0" fontId="52" fillId="0" borderId="1" xfId="0" applyFont="1" applyFill="1" applyBorder="1" applyAlignment="1">
      <alignment horizontal="center" vertical="center" textRotation="90" wrapText="1"/>
    </xf>
    <xf numFmtId="173" fontId="24" fillId="11" borderId="3" xfId="2" applyNumberFormat="1" applyFont="1" applyFill="1" applyBorder="1" applyAlignment="1">
      <alignment horizontal="center" vertical="center" wrapText="1"/>
    </xf>
    <xf numFmtId="173" fontId="24" fillId="11" borderId="10" xfId="2" applyNumberFormat="1" applyFont="1" applyFill="1" applyBorder="1" applyAlignment="1">
      <alignment horizontal="center" vertical="center" wrapText="1"/>
    </xf>
    <xf numFmtId="173" fontId="25" fillId="11" borderId="4" xfId="2" applyNumberFormat="1" applyFont="1" applyFill="1" applyBorder="1" applyAlignment="1">
      <alignment horizontal="center" vertical="center" wrapText="1"/>
    </xf>
    <xf numFmtId="173" fontId="25" fillId="11" borderId="18" xfId="2" applyNumberFormat="1" applyFont="1" applyFill="1" applyBorder="1" applyAlignment="1">
      <alignment horizontal="center" vertical="center" wrapText="1"/>
    </xf>
    <xf numFmtId="173" fontId="25" fillId="11" borderId="5" xfId="2" applyNumberFormat="1" applyFont="1" applyFill="1" applyBorder="1" applyAlignment="1">
      <alignment horizontal="center" vertical="center" wrapText="1"/>
    </xf>
    <xf numFmtId="173" fontId="60" fillId="11" borderId="3" xfId="2" applyNumberFormat="1" applyFont="1" applyFill="1" applyBorder="1" applyAlignment="1">
      <alignment horizontal="left" vertical="center" wrapText="1"/>
    </xf>
    <xf numFmtId="173" fontId="60" fillId="11" borderId="10" xfId="2" applyNumberFormat="1" applyFont="1" applyFill="1" applyBorder="1" applyAlignment="1">
      <alignment horizontal="left" vertical="center" wrapText="1"/>
    </xf>
    <xf numFmtId="0" fontId="53" fillId="31" borderId="4" xfId="0" applyFont="1" applyFill="1" applyBorder="1" applyAlignment="1">
      <alignment horizontal="center" vertical="justify" wrapText="1"/>
    </xf>
    <xf numFmtId="0" fontId="53" fillId="31" borderId="18" xfId="0" applyFont="1" applyFill="1" applyBorder="1" applyAlignment="1">
      <alignment horizontal="center" vertical="justify" wrapText="1"/>
    </xf>
    <xf numFmtId="0" fontId="53" fillId="31" borderId="5" xfId="0" applyFont="1" applyFill="1" applyBorder="1" applyAlignment="1">
      <alignment horizontal="center" vertical="justify" wrapText="1"/>
    </xf>
    <xf numFmtId="0" fontId="45" fillId="25" borderId="3" xfId="0" applyFont="1" applyFill="1" applyBorder="1" applyAlignment="1">
      <alignment horizontal="center" vertical="center" wrapText="1"/>
    </xf>
    <xf numFmtId="0" fontId="45" fillId="25" borderId="9" xfId="0" applyFont="1" applyFill="1" applyBorder="1" applyAlignment="1">
      <alignment horizontal="center" vertical="center" wrapText="1"/>
    </xf>
    <xf numFmtId="0" fontId="45" fillId="25" borderId="10" xfId="0" applyFont="1" applyFill="1" applyBorder="1" applyAlignment="1">
      <alignment horizontal="center" vertical="center" wrapText="1"/>
    </xf>
    <xf numFmtId="0" fontId="48" fillId="46" borderId="4" xfId="0" applyFont="1" applyFill="1" applyBorder="1" applyAlignment="1">
      <alignment horizontal="center" vertical="center"/>
    </xf>
    <xf numFmtId="0" fontId="48" fillId="46" borderId="18" xfId="0" applyFont="1" applyFill="1" applyBorder="1" applyAlignment="1">
      <alignment horizontal="center" vertical="center"/>
    </xf>
    <xf numFmtId="0" fontId="48" fillId="46" borderId="5" xfId="0" applyFont="1" applyFill="1" applyBorder="1" applyAlignment="1">
      <alignment horizontal="center" vertical="center"/>
    </xf>
    <xf numFmtId="171" fontId="46" fillId="3" borderId="2"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0" fontId="48" fillId="25" borderId="0" xfId="0" applyFont="1" applyFill="1" applyBorder="1" applyAlignment="1">
      <alignment horizontal="center" vertical="center"/>
    </xf>
    <xf numFmtId="171" fontId="53" fillId="3" borderId="2" xfId="2" applyNumberFormat="1" applyFont="1" applyFill="1" applyBorder="1" applyAlignment="1" applyProtection="1">
      <alignment horizontal="center" vertical="center"/>
    </xf>
    <xf numFmtId="171" fontId="53" fillId="3" borderId="0" xfId="2" applyNumberFormat="1" applyFont="1" applyFill="1" applyBorder="1" applyAlignment="1" applyProtection="1">
      <alignment horizontal="center" vertical="center"/>
    </xf>
    <xf numFmtId="0" fontId="46" fillId="43" borderId="4" xfId="0" applyFont="1" applyFill="1" applyBorder="1" applyAlignment="1">
      <alignment horizontal="center" vertical="center" wrapText="1"/>
    </xf>
    <xf numFmtId="0" fontId="46" fillId="43" borderId="18" xfId="0" applyFont="1" applyFill="1" applyBorder="1" applyAlignment="1">
      <alignment horizontal="center" vertical="center" wrapText="1"/>
    </xf>
    <xf numFmtId="0" fontId="46" fillId="43" borderId="5" xfId="0" applyFont="1" applyFill="1" applyBorder="1" applyAlignment="1">
      <alignment horizontal="center" vertical="center" wrapText="1"/>
    </xf>
    <xf numFmtId="0" fontId="45" fillId="25" borderId="1" xfId="0" applyFont="1" applyFill="1" applyBorder="1" applyAlignment="1">
      <alignment horizontal="center" vertical="center" wrapText="1"/>
    </xf>
    <xf numFmtId="0" fontId="65" fillId="47" borderId="4" xfId="0" applyFont="1" applyFill="1" applyBorder="1" applyAlignment="1">
      <alignment horizontal="center" vertical="center"/>
    </xf>
    <xf numFmtId="0" fontId="65" fillId="47" borderId="18" xfId="0" applyFont="1" applyFill="1" applyBorder="1" applyAlignment="1">
      <alignment horizontal="center" vertical="center"/>
    </xf>
    <xf numFmtId="0" fontId="65" fillId="47" borderId="5" xfId="0" applyFont="1" applyFill="1" applyBorder="1" applyAlignment="1">
      <alignment horizontal="center" vertical="center"/>
    </xf>
    <xf numFmtId="0" fontId="65" fillId="20" borderId="4" xfId="0" applyFont="1" applyFill="1" applyBorder="1" applyAlignment="1">
      <alignment horizontal="center" vertical="center"/>
    </xf>
    <xf numFmtId="0" fontId="65" fillId="20" borderId="18" xfId="0" applyFont="1" applyFill="1" applyBorder="1" applyAlignment="1">
      <alignment horizontal="center" vertical="center"/>
    </xf>
    <xf numFmtId="0" fontId="65" fillId="20" borderId="5" xfId="0" applyFont="1" applyFill="1" applyBorder="1" applyAlignment="1">
      <alignment horizontal="center" vertical="center"/>
    </xf>
    <xf numFmtId="0" fontId="69" fillId="0" borderId="3" xfId="0" applyFont="1" applyFill="1" applyBorder="1" applyAlignment="1">
      <alignment horizontal="left" vertical="center" wrapText="1"/>
    </xf>
    <xf numFmtId="0" fontId="69" fillId="0" borderId="9"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6" fillId="0" borderId="1" xfId="0" applyFont="1" applyFill="1" applyBorder="1" applyAlignment="1">
      <alignment horizontal="left" vertical="center" wrapText="1"/>
    </xf>
    <xf numFmtId="0" fontId="67" fillId="48" borderId="3" xfId="0" applyFont="1" applyFill="1" applyBorder="1" applyAlignment="1">
      <alignment horizontal="center" vertical="center" wrapText="1"/>
    </xf>
    <xf numFmtId="0" fontId="67" fillId="48" borderId="9" xfId="0" applyFont="1" applyFill="1" applyBorder="1" applyAlignment="1">
      <alignment horizontal="center" vertical="center" wrapText="1"/>
    </xf>
    <xf numFmtId="0" fontId="67" fillId="48" borderId="10" xfId="0" applyFont="1" applyFill="1" applyBorder="1" applyAlignment="1">
      <alignment horizontal="center" vertical="center" wrapText="1"/>
    </xf>
    <xf numFmtId="0" fontId="65" fillId="4" borderId="4" xfId="0" applyFont="1" applyFill="1" applyBorder="1" applyAlignment="1">
      <alignment horizontal="center" vertical="center"/>
    </xf>
    <xf numFmtId="0" fontId="65" fillId="4" borderId="18" xfId="0" applyFont="1" applyFill="1" applyBorder="1" applyAlignment="1">
      <alignment horizontal="center" vertical="center"/>
    </xf>
    <xf numFmtId="0" fontId="0" fillId="0" borderId="1" xfId="0" applyBorder="1" applyAlignment="1">
      <alignment horizontal="left" vertical="center" wrapText="1"/>
    </xf>
    <xf numFmtId="0" fontId="69" fillId="0" borderId="3"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69" fillId="0" borderId="10" xfId="0" applyFont="1" applyFill="1" applyBorder="1" applyAlignment="1">
      <alignment horizontal="center"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66" fillId="0" borderId="3" xfId="0" applyFont="1" applyFill="1" applyBorder="1" applyAlignment="1">
      <alignment horizontal="left" vertical="center" wrapText="1"/>
    </xf>
    <xf numFmtId="0" fontId="66" fillId="0" borderId="10" xfId="0" applyFont="1" applyFill="1" applyBorder="1" applyAlignment="1">
      <alignment horizontal="left" vertical="center" wrapText="1"/>
    </xf>
    <xf numFmtId="0" fontId="69" fillId="11" borderId="4" xfId="0" applyFont="1" applyFill="1" applyBorder="1" applyAlignment="1">
      <alignment horizontal="center" vertical="center" wrapText="1"/>
    </xf>
    <xf numFmtId="0" fontId="69" fillId="11" borderId="18" xfId="0" applyFont="1" applyFill="1" applyBorder="1" applyAlignment="1">
      <alignment horizontal="center" vertical="center" wrapText="1"/>
    </xf>
    <xf numFmtId="0" fontId="69" fillId="11" borderId="5"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69" fillId="8" borderId="4" xfId="0" applyFont="1" applyFill="1" applyBorder="1" applyAlignment="1">
      <alignment horizontal="center" vertical="center" wrapText="1"/>
    </xf>
    <xf numFmtId="0" fontId="69" fillId="8" borderId="18" xfId="0" applyFont="1" applyFill="1" applyBorder="1" applyAlignment="1">
      <alignment horizontal="center" vertical="center" wrapText="1"/>
    </xf>
    <xf numFmtId="0" fontId="69" fillId="8" borderId="5" xfId="0" applyFont="1" applyFill="1" applyBorder="1" applyAlignment="1">
      <alignment horizontal="center" vertical="center" wrapText="1"/>
    </xf>
    <xf numFmtId="0" fontId="69" fillId="12" borderId="4" xfId="0" applyFont="1" applyFill="1" applyBorder="1" applyAlignment="1">
      <alignment horizontal="center" vertical="center" wrapText="1"/>
    </xf>
    <xf numFmtId="0" fontId="69" fillId="12" borderId="18" xfId="0" applyFont="1" applyFill="1" applyBorder="1" applyAlignment="1">
      <alignment horizontal="center" vertical="center" wrapText="1"/>
    </xf>
    <xf numFmtId="0" fontId="69" fillId="12" borderId="5" xfId="0" applyFont="1" applyFill="1" applyBorder="1" applyAlignment="1">
      <alignment horizontal="center" vertical="center" wrapText="1"/>
    </xf>
    <xf numFmtId="0" fontId="25" fillId="0" borderId="0" xfId="0" applyFont="1" applyBorder="1" applyAlignment="1">
      <alignment horizontal="center" vertical="center"/>
    </xf>
    <xf numFmtId="0" fontId="33" fillId="21" borderId="4" xfId="0" applyFont="1" applyFill="1" applyBorder="1" applyAlignment="1">
      <alignment horizontal="left" vertical="center" wrapText="1"/>
    </xf>
    <xf numFmtId="0" fontId="33" fillId="21" borderId="18" xfId="0" applyFont="1" applyFill="1" applyBorder="1" applyAlignment="1">
      <alignment horizontal="left" vertical="center" wrapText="1"/>
    </xf>
    <xf numFmtId="0" fontId="33" fillId="21" borderId="5" xfId="0" applyFont="1" applyFill="1" applyBorder="1" applyAlignment="1">
      <alignment horizontal="left" vertical="center" wrapText="1"/>
    </xf>
    <xf numFmtId="0" fontId="30" fillId="0" borderId="7" xfId="0" applyFont="1" applyBorder="1" applyAlignment="1">
      <alignment horizontal="left" vertical="center" wrapText="1"/>
    </xf>
    <xf numFmtId="0" fontId="30" fillId="0" borderId="14" xfId="0" applyFont="1" applyBorder="1" applyAlignment="1">
      <alignment horizontal="left" vertical="center" wrapText="1"/>
    </xf>
    <xf numFmtId="0" fontId="30" fillId="0" borderId="3" xfId="0" applyFont="1" applyFill="1" applyBorder="1" applyAlignment="1">
      <alignment horizontal="left" wrapText="1"/>
    </xf>
    <xf numFmtId="0" fontId="30" fillId="0" borderId="9" xfId="0" applyFont="1" applyFill="1" applyBorder="1" applyAlignment="1">
      <alignment horizontal="left" wrapText="1"/>
    </xf>
    <xf numFmtId="0" fontId="30" fillId="0" borderId="10" xfId="0" applyFont="1" applyFill="1" applyBorder="1" applyAlignment="1">
      <alignment horizontal="left" wrapText="1"/>
    </xf>
    <xf numFmtId="0" fontId="22" fillId="17" borderId="10" xfId="0" applyFont="1" applyFill="1" applyBorder="1" applyAlignment="1">
      <alignment horizontal="center" vertical="center" wrapText="1"/>
    </xf>
    <xf numFmtId="0" fontId="78" fillId="0" borderId="0" xfId="0" applyFont="1"/>
    <xf numFmtId="169" fontId="79" fillId="23" borderId="1" xfId="8" applyNumberFormat="1" applyFont="1" applyFill="1" applyBorder="1" applyAlignment="1" applyProtection="1">
      <alignment horizontal="center" vertical="center" wrapText="1"/>
    </xf>
    <xf numFmtId="169" fontId="52" fillId="3" borderId="5" xfId="9" applyNumberFormat="1" applyFont="1" applyFill="1" applyBorder="1" applyAlignment="1">
      <alignment vertical="center"/>
    </xf>
    <xf numFmtId="169" fontId="46" fillId="26" borderId="17" xfId="8" applyNumberFormat="1" applyFont="1" applyFill="1" applyBorder="1" applyAlignment="1" applyProtection="1">
      <alignment horizontal="center" vertical="center" wrapText="1"/>
    </xf>
    <xf numFmtId="169" fontId="46" fillId="8" borderId="1" xfId="9" applyNumberFormat="1" applyFont="1" applyFill="1" applyBorder="1" applyAlignment="1">
      <alignment vertical="center"/>
    </xf>
    <xf numFmtId="169" fontId="52" fillId="3" borderId="6" xfId="9" applyNumberFormat="1" applyFont="1" applyFill="1" applyBorder="1" applyAlignment="1">
      <alignment vertical="center"/>
    </xf>
    <xf numFmtId="169" fontId="46" fillId="11" borderId="1" xfId="9" applyNumberFormat="1" applyFont="1" applyFill="1" applyBorder="1" applyAlignment="1">
      <alignment vertical="center"/>
    </xf>
    <xf numFmtId="169" fontId="52" fillId="3" borderId="8" xfId="9" applyNumberFormat="1" applyFont="1" applyFill="1" applyBorder="1" applyAlignment="1">
      <alignment vertical="center"/>
    </xf>
    <xf numFmtId="169" fontId="46" fillId="11" borderId="5" xfId="9" applyNumberFormat="1" applyFont="1" applyFill="1" applyBorder="1" applyAlignment="1">
      <alignment vertical="center"/>
    </xf>
    <xf numFmtId="179" fontId="52" fillId="15" borderId="1" xfId="9" applyNumberFormat="1" applyFont="1" applyFill="1" applyBorder="1" applyAlignment="1">
      <alignment vertical="center" wrapText="1"/>
    </xf>
    <xf numFmtId="169" fontId="46" fillId="12" borderId="10" xfId="9" applyNumberFormat="1" applyFont="1" applyFill="1" applyBorder="1" applyAlignment="1">
      <alignment vertical="center"/>
    </xf>
    <xf numFmtId="169" fontId="46" fillId="26" borderId="3" xfId="0" applyNumberFormat="1" applyFont="1" applyFill="1" applyBorder="1" applyAlignment="1">
      <alignment vertical="center" wrapText="1"/>
    </xf>
    <xf numFmtId="169" fontId="46" fillId="26" borderId="1" xfId="0" applyNumberFormat="1" applyFont="1" applyFill="1" applyBorder="1" applyAlignment="1">
      <alignment vertical="center" wrapText="1"/>
    </xf>
    <xf numFmtId="169" fontId="80" fillId="15" borderId="5" xfId="8" applyFont="1" applyFill="1" applyBorder="1" applyAlignment="1" applyProtection="1">
      <alignment horizontal="left" vertical="center" wrapText="1"/>
    </xf>
    <xf numFmtId="169" fontId="81" fillId="26" borderId="1" xfId="8" applyFont="1" applyFill="1" applyBorder="1" applyAlignment="1" applyProtection="1">
      <alignment horizontal="left" vertical="center" wrapText="1"/>
    </xf>
    <xf numFmtId="169" fontId="81" fillId="28" borderId="1" xfId="8" applyFont="1" applyFill="1" applyBorder="1" applyAlignment="1" applyProtection="1">
      <alignment horizontal="left" vertical="center"/>
    </xf>
    <xf numFmtId="169" fontId="81" fillId="16" borderId="1" xfId="8" applyFont="1" applyFill="1" applyBorder="1" applyAlignment="1" applyProtection="1">
      <alignment horizontal="left" vertical="center" wrapText="1"/>
    </xf>
    <xf numFmtId="169" fontId="81" fillId="2" borderId="21" xfId="8" applyFont="1" applyFill="1" applyBorder="1" applyAlignment="1" applyProtection="1">
      <alignment horizontal="left" vertical="center"/>
    </xf>
    <xf numFmtId="171" fontId="82" fillId="0" borderId="0" xfId="2" applyNumberFormat="1" applyFont="1"/>
    <xf numFmtId="169" fontId="24" fillId="22" borderId="0" xfId="8" applyNumberFormat="1" applyFont="1" applyFill="1" applyBorder="1" applyAlignment="1" applyProtection="1">
      <alignment horizontal="center" vertical="center"/>
    </xf>
  </cellXfs>
  <cellStyles count="1310">
    <cellStyle name="Euro" xfId="1"/>
    <cellStyle name="Hipervínculo" xfId="1308" builtinId="8"/>
    <cellStyle name="Millares" xfId="2" builtinId="3"/>
    <cellStyle name="Millares 2" xfId="3"/>
    <cellStyle name="Millares 2 10" xfId="665"/>
    <cellStyle name="Millares 2 11" xfId="16"/>
    <cellStyle name="Millares 2 2" xfId="10"/>
    <cellStyle name="Millares 2 2 2" xfId="40"/>
    <cellStyle name="Millares 2 3" xfId="39"/>
    <cellStyle name="Millares 2 4" xfId="60"/>
    <cellStyle name="Millares 2 4 2" xfId="138"/>
    <cellStyle name="Millares 2 4 2 2" xfId="294"/>
    <cellStyle name="Millares 2 4 2 2 2" xfId="925"/>
    <cellStyle name="Millares 2 4 2 3" xfId="453"/>
    <cellStyle name="Millares 2 4 2 3 2" xfId="1083"/>
    <cellStyle name="Millares 2 4 2 4" xfId="611"/>
    <cellStyle name="Millares 2 4 2 4 2" xfId="1241"/>
    <cellStyle name="Millares 2 4 2 5" xfId="769"/>
    <cellStyle name="Millares 2 4 3" xfId="216"/>
    <cellStyle name="Millares 2 4 3 2" xfId="847"/>
    <cellStyle name="Millares 2 4 4" xfId="375"/>
    <cellStyle name="Millares 2 4 4 2" xfId="1005"/>
    <cellStyle name="Millares 2 4 5" xfId="533"/>
    <cellStyle name="Millares 2 4 5 2" xfId="1163"/>
    <cellStyle name="Millares 2 4 6" xfId="691"/>
    <cellStyle name="Millares 2 5" xfId="86"/>
    <cellStyle name="Millares 2 5 2" xfId="164"/>
    <cellStyle name="Millares 2 5 2 2" xfId="320"/>
    <cellStyle name="Millares 2 5 2 2 2" xfId="951"/>
    <cellStyle name="Millares 2 5 2 3" xfId="479"/>
    <cellStyle name="Millares 2 5 2 3 2" xfId="1109"/>
    <cellStyle name="Millares 2 5 2 4" xfId="637"/>
    <cellStyle name="Millares 2 5 2 4 2" xfId="1267"/>
    <cellStyle name="Millares 2 5 2 5" xfId="795"/>
    <cellStyle name="Millares 2 5 3" xfId="242"/>
    <cellStyle name="Millares 2 5 3 2" xfId="873"/>
    <cellStyle name="Millares 2 5 4" xfId="401"/>
    <cellStyle name="Millares 2 5 4 2" xfId="1031"/>
    <cellStyle name="Millares 2 5 5" xfId="559"/>
    <cellStyle name="Millares 2 5 5 2" xfId="1189"/>
    <cellStyle name="Millares 2 5 6" xfId="717"/>
    <cellStyle name="Millares 2 6" xfId="112"/>
    <cellStyle name="Millares 2 6 2" xfId="268"/>
    <cellStyle name="Millares 2 6 2 2" xfId="899"/>
    <cellStyle name="Millares 2 6 3" xfId="427"/>
    <cellStyle name="Millares 2 6 3 2" xfId="1057"/>
    <cellStyle name="Millares 2 6 4" xfId="585"/>
    <cellStyle name="Millares 2 6 4 2" xfId="1215"/>
    <cellStyle name="Millares 2 6 5" xfId="743"/>
    <cellStyle name="Millares 2 7" xfId="190"/>
    <cellStyle name="Millares 2 7 2" xfId="821"/>
    <cellStyle name="Millares 2 8" xfId="349"/>
    <cellStyle name="Millares 2 8 2" xfId="979"/>
    <cellStyle name="Millares 2 9" xfId="507"/>
    <cellStyle name="Millares 2 9 2" xfId="1137"/>
    <cellStyle name="Millares 3" xfId="28"/>
    <cellStyle name="Millares 3 10" xfId="677"/>
    <cellStyle name="Millares 3 2" xfId="42"/>
    <cellStyle name="Millares 3 3" xfId="41"/>
    <cellStyle name="Millares 3 4" xfId="72"/>
    <cellStyle name="Millares 3 4 2" xfId="150"/>
    <cellStyle name="Millares 3 4 2 2" xfId="306"/>
    <cellStyle name="Millares 3 4 2 2 2" xfId="937"/>
    <cellStyle name="Millares 3 4 2 3" xfId="465"/>
    <cellStyle name="Millares 3 4 2 3 2" xfId="1095"/>
    <cellStyle name="Millares 3 4 2 4" xfId="623"/>
    <cellStyle name="Millares 3 4 2 4 2" xfId="1253"/>
    <cellStyle name="Millares 3 4 2 5" xfId="781"/>
    <cellStyle name="Millares 3 4 3" xfId="228"/>
    <cellStyle name="Millares 3 4 3 2" xfId="859"/>
    <cellStyle name="Millares 3 4 4" xfId="387"/>
    <cellStyle name="Millares 3 4 4 2" xfId="1017"/>
    <cellStyle name="Millares 3 4 5" xfId="545"/>
    <cellStyle name="Millares 3 4 5 2" xfId="1175"/>
    <cellStyle name="Millares 3 4 6" xfId="703"/>
    <cellStyle name="Millares 3 5" xfId="98"/>
    <cellStyle name="Millares 3 5 2" xfId="176"/>
    <cellStyle name="Millares 3 5 2 2" xfId="332"/>
    <cellStyle name="Millares 3 5 2 2 2" xfId="963"/>
    <cellStyle name="Millares 3 5 2 3" xfId="491"/>
    <cellStyle name="Millares 3 5 2 3 2" xfId="1121"/>
    <cellStyle name="Millares 3 5 2 4" xfId="649"/>
    <cellStyle name="Millares 3 5 2 4 2" xfId="1279"/>
    <cellStyle name="Millares 3 5 2 5" xfId="807"/>
    <cellStyle name="Millares 3 5 3" xfId="254"/>
    <cellStyle name="Millares 3 5 3 2" xfId="885"/>
    <cellStyle name="Millares 3 5 4" xfId="413"/>
    <cellStyle name="Millares 3 5 4 2" xfId="1043"/>
    <cellStyle name="Millares 3 5 5" xfId="571"/>
    <cellStyle name="Millares 3 5 5 2" xfId="1201"/>
    <cellStyle name="Millares 3 5 6" xfId="729"/>
    <cellStyle name="Millares 3 6" xfId="124"/>
    <cellStyle name="Millares 3 6 2" xfId="280"/>
    <cellStyle name="Millares 3 6 2 2" xfId="911"/>
    <cellStyle name="Millares 3 6 3" xfId="439"/>
    <cellStyle name="Millares 3 6 3 2" xfId="1069"/>
    <cellStyle name="Millares 3 6 4" xfId="597"/>
    <cellStyle name="Millares 3 6 4 2" xfId="1227"/>
    <cellStyle name="Millares 3 6 5" xfId="755"/>
    <cellStyle name="Millares 3 7" xfId="202"/>
    <cellStyle name="Millares 3 7 2" xfId="833"/>
    <cellStyle name="Millares 3 8" xfId="361"/>
    <cellStyle name="Millares 3 8 2" xfId="991"/>
    <cellStyle name="Millares 3 9" xfId="519"/>
    <cellStyle name="Millares 3 9 2" xfId="1149"/>
    <cellStyle name="Moneda" xfId="9" builtinId="4"/>
    <cellStyle name="Moneda [0] 2" xfId="4"/>
    <cellStyle name="Moneda [0] 2 10" xfId="666"/>
    <cellStyle name="Moneda [0] 2 11" xfId="17"/>
    <cellStyle name="Moneda [0] 2 2" xfId="11"/>
    <cellStyle name="Moneda [0] 2 2 2" xfId="44"/>
    <cellStyle name="Moneda [0] 2 3" xfId="43"/>
    <cellStyle name="Moneda [0] 2 4" xfId="61"/>
    <cellStyle name="Moneda [0] 2 4 2" xfId="139"/>
    <cellStyle name="Moneda [0] 2 4 2 2" xfId="295"/>
    <cellStyle name="Moneda [0] 2 4 2 2 2" xfId="926"/>
    <cellStyle name="Moneda [0] 2 4 2 3" xfId="454"/>
    <cellStyle name="Moneda [0] 2 4 2 3 2" xfId="1084"/>
    <cellStyle name="Moneda [0] 2 4 2 4" xfId="612"/>
    <cellStyle name="Moneda [0] 2 4 2 4 2" xfId="1242"/>
    <cellStyle name="Moneda [0] 2 4 2 5" xfId="770"/>
    <cellStyle name="Moneda [0] 2 4 3" xfId="217"/>
    <cellStyle name="Moneda [0] 2 4 3 2" xfId="848"/>
    <cellStyle name="Moneda [0] 2 4 4" xfId="376"/>
    <cellStyle name="Moneda [0] 2 4 4 2" xfId="1006"/>
    <cellStyle name="Moneda [0] 2 4 5" xfId="534"/>
    <cellStyle name="Moneda [0] 2 4 5 2" xfId="1164"/>
    <cellStyle name="Moneda [0] 2 4 6" xfId="692"/>
    <cellStyle name="Moneda [0] 2 5" xfId="87"/>
    <cellStyle name="Moneda [0] 2 5 2" xfId="165"/>
    <cellStyle name="Moneda [0] 2 5 2 2" xfId="321"/>
    <cellStyle name="Moneda [0] 2 5 2 2 2" xfId="952"/>
    <cellStyle name="Moneda [0] 2 5 2 3" xfId="480"/>
    <cellStyle name="Moneda [0] 2 5 2 3 2" xfId="1110"/>
    <cellStyle name="Moneda [0] 2 5 2 4" xfId="638"/>
    <cellStyle name="Moneda [0] 2 5 2 4 2" xfId="1268"/>
    <cellStyle name="Moneda [0] 2 5 2 5" xfId="796"/>
    <cellStyle name="Moneda [0] 2 5 3" xfId="243"/>
    <cellStyle name="Moneda [0] 2 5 3 2" xfId="874"/>
    <cellStyle name="Moneda [0] 2 5 4" xfId="402"/>
    <cellStyle name="Moneda [0] 2 5 4 2" xfId="1032"/>
    <cellStyle name="Moneda [0] 2 5 5" xfId="560"/>
    <cellStyle name="Moneda [0] 2 5 5 2" xfId="1190"/>
    <cellStyle name="Moneda [0] 2 5 6" xfId="718"/>
    <cellStyle name="Moneda [0] 2 6" xfId="113"/>
    <cellStyle name="Moneda [0] 2 6 2" xfId="269"/>
    <cellStyle name="Moneda [0] 2 6 2 2" xfId="900"/>
    <cellStyle name="Moneda [0] 2 6 3" xfId="428"/>
    <cellStyle name="Moneda [0] 2 6 3 2" xfId="1058"/>
    <cellStyle name="Moneda [0] 2 6 4" xfId="586"/>
    <cellStyle name="Moneda [0] 2 6 4 2" xfId="1216"/>
    <cellStyle name="Moneda [0] 2 6 5" xfId="744"/>
    <cellStyle name="Moneda [0] 2 7" xfId="191"/>
    <cellStyle name="Moneda [0] 2 7 2" xfId="822"/>
    <cellStyle name="Moneda [0] 2 8" xfId="350"/>
    <cellStyle name="Moneda [0] 2 8 2" xfId="980"/>
    <cellStyle name="Moneda [0] 2 9" xfId="508"/>
    <cellStyle name="Moneda [0] 2 9 2" xfId="1138"/>
    <cellStyle name="Moneda 10" xfId="35"/>
    <cellStyle name="Moneda 10 2" xfId="78"/>
    <cellStyle name="Moneda 10 2 2" xfId="156"/>
    <cellStyle name="Moneda 10 2 2 2" xfId="312"/>
    <cellStyle name="Moneda 10 2 2 2 2" xfId="943"/>
    <cellStyle name="Moneda 10 2 2 3" xfId="471"/>
    <cellStyle name="Moneda 10 2 2 3 2" xfId="1101"/>
    <cellStyle name="Moneda 10 2 2 4" xfId="629"/>
    <cellStyle name="Moneda 10 2 2 4 2" xfId="1259"/>
    <cellStyle name="Moneda 10 2 2 5" xfId="787"/>
    <cellStyle name="Moneda 10 2 3" xfId="234"/>
    <cellStyle name="Moneda 10 2 3 2" xfId="865"/>
    <cellStyle name="Moneda 10 2 4" xfId="393"/>
    <cellStyle name="Moneda 10 2 4 2" xfId="1023"/>
    <cellStyle name="Moneda 10 2 5" xfId="551"/>
    <cellStyle name="Moneda 10 2 5 2" xfId="1181"/>
    <cellStyle name="Moneda 10 2 6" xfId="709"/>
    <cellStyle name="Moneda 10 3" xfId="104"/>
    <cellStyle name="Moneda 10 3 2" xfId="182"/>
    <cellStyle name="Moneda 10 3 2 2" xfId="338"/>
    <cellStyle name="Moneda 10 3 2 2 2" xfId="969"/>
    <cellStyle name="Moneda 10 3 2 3" xfId="497"/>
    <cellStyle name="Moneda 10 3 2 3 2" xfId="1127"/>
    <cellStyle name="Moneda 10 3 2 4" xfId="655"/>
    <cellStyle name="Moneda 10 3 2 4 2" xfId="1285"/>
    <cellStyle name="Moneda 10 3 2 5" xfId="813"/>
    <cellStyle name="Moneda 10 3 3" xfId="260"/>
    <cellStyle name="Moneda 10 3 3 2" xfId="891"/>
    <cellStyle name="Moneda 10 3 4" xfId="419"/>
    <cellStyle name="Moneda 10 3 4 2" xfId="1049"/>
    <cellStyle name="Moneda 10 3 5" xfId="577"/>
    <cellStyle name="Moneda 10 3 5 2" xfId="1207"/>
    <cellStyle name="Moneda 10 3 6" xfId="735"/>
    <cellStyle name="Moneda 10 4" xfId="130"/>
    <cellStyle name="Moneda 10 4 2" xfId="286"/>
    <cellStyle name="Moneda 10 4 2 2" xfId="917"/>
    <cellStyle name="Moneda 10 4 3" xfId="445"/>
    <cellStyle name="Moneda 10 4 3 2" xfId="1075"/>
    <cellStyle name="Moneda 10 4 4" xfId="603"/>
    <cellStyle name="Moneda 10 4 4 2" xfId="1233"/>
    <cellStyle name="Moneda 10 4 5" xfId="761"/>
    <cellStyle name="Moneda 10 5" xfId="208"/>
    <cellStyle name="Moneda 10 5 2" xfId="839"/>
    <cellStyle name="Moneda 10 6" xfId="367"/>
    <cellStyle name="Moneda 10 6 2" xfId="997"/>
    <cellStyle name="Moneda 10 7" xfId="525"/>
    <cellStyle name="Moneda 10 7 2" xfId="1155"/>
    <cellStyle name="Moneda 10 8" xfId="683"/>
    <cellStyle name="Moneda 11" xfId="25"/>
    <cellStyle name="Moneda 11 2" xfId="69"/>
    <cellStyle name="Moneda 11 2 2" xfId="147"/>
    <cellStyle name="Moneda 11 2 2 2" xfId="303"/>
    <cellStyle name="Moneda 11 2 2 2 2" xfId="934"/>
    <cellStyle name="Moneda 11 2 2 3" xfId="462"/>
    <cellStyle name="Moneda 11 2 2 3 2" xfId="1092"/>
    <cellStyle name="Moneda 11 2 2 4" xfId="620"/>
    <cellStyle name="Moneda 11 2 2 4 2" xfId="1250"/>
    <cellStyle name="Moneda 11 2 2 5" xfId="778"/>
    <cellStyle name="Moneda 11 2 3" xfId="225"/>
    <cellStyle name="Moneda 11 2 3 2" xfId="856"/>
    <cellStyle name="Moneda 11 2 4" xfId="384"/>
    <cellStyle name="Moneda 11 2 4 2" xfId="1014"/>
    <cellStyle name="Moneda 11 2 5" xfId="542"/>
    <cellStyle name="Moneda 11 2 5 2" xfId="1172"/>
    <cellStyle name="Moneda 11 2 6" xfId="700"/>
    <cellStyle name="Moneda 11 3" xfId="95"/>
    <cellStyle name="Moneda 11 3 2" xfId="173"/>
    <cellStyle name="Moneda 11 3 2 2" xfId="329"/>
    <cellStyle name="Moneda 11 3 2 2 2" xfId="960"/>
    <cellStyle name="Moneda 11 3 2 3" xfId="488"/>
    <cellStyle name="Moneda 11 3 2 3 2" xfId="1118"/>
    <cellStyle name="Moneda 11 3 2 4" xfId="646"/>
    <cellStyle name="Moneda 11 3 2 4 2" xfId="1276"/>
    <cellStyle name="Moneda 11 3 2 5" xfId="804"/>
    <cellStyle name="Moneda 11 3 3" xfId="251"/>
    <cellStyle name="Moneda 11 3 3 2" xfId="882"/>
    <cellStyle name="Moneda 11 3 4" xfId="410"/>
    <cellStyle name="Moneda 11 3 4 2" xfId="1040"/>
    <cellStyle name="Moneda 11 3 5" xfId="568"/>
    <cellStyle name="Moneda 11 3 5 2" xfId="1198"/>
    <cellStyle name="Moneda 11 3 6" xfId="726"/>
    <cellStyle name="Moneda 11 4" xfId="121"/>
    <cellStyle name="Moneda 11 4 2" xfId="277"/>
    <cellStyle name="Moneda 11 4 2 2" xfId="908"/>
    <cellStyle name="Moneda 11 4 3" xfId="436"/>
    <cellStyle name="Moneda 11 4 3 2" xfId="1066"/>
    <cellStyle name="Moneda 11 4 4" xfId="594"/>
    <cellStyle name="Moneda 11 4 4 2" xfId="1224"/>
    <cellStyle name="Moneda 11 4 5" xfId="752"/>
    <cellStyle name="Moneda 11 5" xfId="199"/>
    <cellStyle name="Moneda 11 5 2" xfId="830"/>
    <cellStyle name="Moneda 11 6" xfId="358"/>
    <cellStyle name="Moneda 11 6 2" xfId="988"/>
    <cellStyle name="Moneda 11 7" xfId="516"/>
    <cellStyle name="Moneda 11 7 2" xfId="1146"/>
    <cellStyle name="Moneda 11 8" xfId="674"/>
    <cellStyle name="Moneda 12" xfId="34"/>
    <cellStyle name="Moneda 12 2" xfId="77"/>
    <cellStyle name="Moneda 12 2 2" xfId="155"/>
    <cellStyle name="Moneda 12 2 2 2" xfId="311"/>
    <cellStyle name="Moneda 12 2 2 2 2" xfId="942"/>
    <cellStyle name="Moneda 12 2 2 3" xfId="470"/>
    <cellStyle name="Moneda 12 2 2 3 2" xfId="1100"/>
    <cellStyle name="Moneda 12 2 2 4" xfId="628"/>
    <cellStyle name="Moneda 12 2 2 4 2" xfId="1258"/>
    <cellStyle name="Moneda 12 2 2 5" xfId="786"/>
    <cellStyle name="Moneda 12 2 3" xfId="233"/>
    <cellStyle name="Moneda 12 2 3 2" xfId="864"/>
    <cellStyle name="Moneda 12 2 4" xfId="392"/>
    <cellStyle name="Moneda 12 2 4 2" xfId="1022"/>
    <cellStyle name="Moneda 12 2 5" xfId="550"/>
    <cellStyle name="Moneda 12 2 5 2" xfId="1180"/>
    <cellStyle name="Moneda 12 2 6" xfId="708"/>
    <cellStyle name="Moneda 12 3" xfId="103"/>
    <cellStyle name="Moneda 12 3 2" xfId="181"/>
    <cellStyle name="Moneda 12 3 2 2" xfId="337"/>
    <cellStyle name="Moneda 12 3 2 2 2" xfId="968"/>
    <cellStyle name="Moneda 12 3 2 3" xfId="496"/>
    <cellStyle name="Moneda 12 3 2 3 2" xfId="1126"/>
    <cellStyle name="Moneda 12 3 2 4" xfId="654"/>
    <cellStyle name="Moneda 12 3 2 4 2" xfId="1284"/>
    <cellStyle name="Moneda 12 3 2 5" xfId="812"/>
    <cellStyle name="Moneda 12 3 3" xfId="259"/>
    <cellStyle name="Moneda 12 3 3 2" xfId="890"/>
    <cellStyle name="Moneda 12 3 4" xfId="418"/>
    <cellStyle name="Moneda 12 3 4 2" xfId="1048"/>
    <cellStyle name="Moneda 12 3 5" xfId="576"/>
    <cellStyle name="Moneda 12 3 5 2" xfId="1206"/>
    <cellStyle name="Moneda 12 3 6" xfId="734"/>
    <cellStyle name="Moneda 12 4" xfId="129"/>
    <cellStyle name="Moneda 12 4 2" xfId="285"/>
    <cellStyle name="Moneda 12 4 2 2" xfId="916"/>
    <cellStyle name="Moneda 12 4 3" xfId="444"/>
    <cellStyle name="Moneda 12 4 3 2" xfId="1074"/>
    <cellStyle name="Moneda 12 4 4" xfId="602"/>
    <cellStyle name="Moneda 12 4 4 2" xfId="1232"/>
    <cellStyle name="Moneda 12 4 5" xfId="760"/>
    <cellStyle name="Moneda 12 5" xfId="207"/>
    <cellStyle name="Moneda 12 5 2" xfId="838"/>
    <cellStyle name="Moneda 12 6" xfId="366"/>
    <cellStyle name="Moneda 12 6 2" xfId="996"/>
    <cellStyle name="Moneda 12 7" xfId="524"/>
    <cellStyle name="Moneda 12 7 2" xfId="1154"/>
    <cellStyle name="Moneda 12 8" xfId="682"/>
    <cellStyle name="Moneda 13" xfId="37"/>
    <cellStyle name="Moneda 13 2" xfId="80"/>
    <cellStyle name="Moneda 13 2 2" xfId="158"/>
    <cellStyle name="Moneda 13 2 2 2" xfId="314"/>
    <cellStyle name="Moneda 13 2 2 2 2" xfId="945"/>
    <cellStyle name="Moneda 13 2 2 3" xfId="473"/>
    <cellStyle name="Moneda 13 2 2 3 2" xfId="1103"/>
    <cellStyle name="Moneda 13 2 2 4" xfId="631"/>
    <cellStyle name="Moneda 13 2 2 4 2" xfId="1261"/>
    <cellStyle name="Moneda 13 2 2 5" xfId="789"/>
    <cellStyle name="Moneda 13 2 3" xfId="236"/>
    <cellStyle name="Moneda 13 2 3 2" xfId="867"/>
    <cellStyle name="Moneda 13 2 4" xfId="395"/>
    <cellStyle name="Moneda 13 2 4 2" xfId="1025"/>
    <cellStyle name="Moneda 13 2 5" xfId="553"/>
    <cellStyle name="Moneda 13 2 5 2" xfId="1183"/>
    <cellStyle name="Moneda 13 2 6" xfId="711"/>
    <cellStyle name="Moneda 13 3" xfId="106"/>
    <cellStyle name="Moneda 13 3 2" xfId="184"/>
    <cellStyle name="Moneda 13 3 2 2" xfId="340"/>
    <cellStyle name="Moneda 13 3 2 2 2" xfId="971"/>
    <cellStyle name="Moneda 13 3 2 3" xfId="499"/>
    <cellStyle name="Moneda 13 3 2 3 2" xfId="1129"/>
    <cellStyle name="Moneda 13 3 2 4" xfId="657"/>
    <cellStyle name="Moneda 13 3 2 4 2" xfId="1287"/>
    <cellStyle name="Moneda 13 3 2 5" xfId="815"/>
    <cellStyle name="Moneda 13 3 3" xfId="262"/>
    <cellStyle name="Moneda 13 3 3 2" xfId="893"/>
    <cellStyle name="Moneda 13 3 4" xfId="421"/>
    <cellStyle name="Moneda 13 3 4 2" xfId="1051"/>
    <cellStyle name="Moneda 13 3 5" xfId="579"/>
    <cellStyle name="Moneda 13 3 5 2" xfId="1209"/>
    <cellStyle name="Moneda 13 3 6" xfId="737"/>
    <cellStyle name="Moneda 13 4" xfId="132"/>
    <cellStyle name="Moneda 13 4 2" xfId="288"/>
    <cellStyle name="Moneda 13 4 2 2" xfId="919"/>
    <cellStyle name="Moneda 13 4 3" xfId="447"/>
    <cellStyle name="Moneda 13 4 3 2" xfId="1077"/>
    <cellStyle name="Moneda 13 4 4" xfId="605"/>
    <cellStyle name="Moneda 13 4 4 2" xfId="1235"/>
    <cellStyle name="Moneda 13 4 5" xfId="763"/>
    <cellStyle name="Moneda 13 5" xfId="210"/>
    <cellStyle name="Moneda 13 5 2" xfId="841"/>
    <cellStyle name="Moneda 13 6" xfId="369"/>
    <cellStyle name="Moneda 13 6 2" xfId="999"/>
    <cellStyle name="Moneda 13 7" xfId="527"/>
    <cellStyle name="Moneda 13 7 2" xfId="1157"/>
    <cellStyle name="Moneda 13 8" xfId="685"/>
    <cellStyle name="Moneda 14" xfId="36"/>
    <cellStyle name="Moneda 14 2" xfId="79"/>
    <cellStyle name="Moneda 14 2 2" xfId="157"/>
    <cellStyle name="Moneda 14 2 2 2" xfId="313"/>
    <cellStyle name="Moneda 14 2 2 2 2" xfId="944"/>
    <cellStyle name="Moneda 14 2 2 3" xfId="472"/>
    <cellStyle name="Moneda 14 2 2 3 2" xfId="1102"/>
    <cellStyle name="Moneda 14 2 2 4" xfId="630"/>
    <cellStyle name="Moneda 14 2 2 4 2" xfId="1260"/>
    <cellStyle name="Moneda 14 2 2 5" xfId="788"/>
    <cellStyle name="Moneda 14 2 3" xfId="235"/>
    <cellStyle name="Moneda 14 2 3 2" xfId="866"/>
    <cellStyle name="Moneda 14 2 4" xfId="394"/>
    <cellStyle name="Moneda 14 2 4 2" xfId="1024"/>
    <cellStyle name="Moneda 14 2 5" xfId="552"/>
    <cellStyle name="Moneda 14 2 5 2" xfId="1182"/>
    <cellStyle name="Moneda 14 2 6" xfId="710"/>
    <cellStyle name="Moneda 14 3" xfId="105"/>
    <cellStyle name="Moneda 14 3 2" xfId="183"/>
    <cellStyle name="Moneda 14 3 2 2" xfId="339"/>
    <cellStyle name="Moneda 14 3 2 2 2" xfId="970"/>
    <cellStyle name="Moneda 14 3 2 3" xfId="498"/>
    <cellStyle name="Moneda 14 3 2 3 2" xfId="1128"/>
    <cellStyle name="Moneda 14 3 2 4" xfId="656"/>
    <cellStyle name="Moneda 14 3 2 4 2" xfId="1286"/>
    <cellStyle name="Moneda 14 3 2 5" xfId="814"/>
    <cellStyle name="Moneda 14 3 3" xfId="261"/>
    <cellStyle name="Moneda 14 3 3 2" xfId="892"/>
    <cellStyle name="Moneda 14 3 4" xfId="420"/>
    <cellStyle name="Moneda 14 3 4 2" xfId="1050"/>
    <cellStyle name="Moneda 14 3 5" xfId="578"/>
    <cellStyle name="Moneda 14 3 5 2" xfId="1208"/>
    <cellStyle name="Moneda 14 3 6" xfId="736"/>
    <cellStyle name="Moneda 14 4" xfId="131"/>
    <cellStyle name="Moneda 14 4 2" xfId="287"/>
    <cellStyle name="Moneda 14 4 2 2" xfId="918"/>
    <cellStyle name="Moneda 14 4 3" xfId="446"/>
    <cellStyle name="Moneda 14 4 3 2" xfId="1076"/>
    <cellStyle name="Moneda 14 4 4" xfId="604"/>
    <cellStyle name="Moneda 14 4 4 2" xfId="1234"/>
    <cellStyle name="Moneda 14 4 5" xfId="762"/>
    <cellStyle name="Moneda 14 5" xfId="209"/>
    <cellStyle name="Moneda 14 5 2" xfId="840"/>
    <cellStyle name="Moneda 14 6" xfId="368"/>
    <cellStyle name="Moneda 14 6 2" xfId="998"/>
    <cellStyle name="Moneda 14 7" xfId="526"/>
    <cellStyle name="Moneda 14 7 2" xfId="1156"/>
    <cellStyle name="Moneda 14 8" xfId="684"/>
    <cellStyle name="Moneda 15" xfId="38"/>
    <cellStyle name="Moneda 15 2" xfId="81"/>
    <cellStyle name="Moneda 15 2 2" xfId="159"/>
    <cellStyle name="Moneda 15 2 2 2" xfId="315"/>
    <cellStyle name="Moneda 15 2 2 2 2" xfId="946"/>
    <cellStyle name="Moneda 15 2 2 3" xfId="474"/>
    <cellStyle name="Moneda 15 2 2 3 2" xfId="1104"/>
    <cellStyle name="Moneda 15 2 2 4" xfId="632"/>
    <cellStyle name="Moneda 15 2 2 4 2" xfId="1262"/>
    <cellStyle name="Moneda 15 2 2 5" xfId="790"/>
    <cellStyle name="Moneda 15 2 3" xfId="237"/>
    <cellStyle name="Moneda 15 2 3 2" xfId="868"/>
    <cellStyle name="Moneda 15 2 4" xfId="396"/>
    <cellStyle name="Moneda 15 2 4 2" xfId="1026"/>
    <cellStyle name="Moneda 15 2 5" xfId="554"/>
    <cellStyle name="Moneda 15 2 5 2" xfId="1184"/>
    <cellStyle name="Moneda 15 2 6" xfId="712"/>
    <cellStyle name="Moneda 15 3" xfId="107"/>
    <cellStyle name="Moneda 15 3 2" xfId="185"/>
    <cellStyle name="Moneda 15 3 2 2" xfId="341"/>
    <cellStyle name="Moneda 15 3 2 2 2" xfId="972"/>
    <cellStyle name="Moneda 15 3 2 3" xfId="500"/>
    <cellStyle name="Moneda 15 3 2 3 2" xfId="1130"/>
    <cellStyle name="Moneda 15 3 2 4" xfId="658"/>
    <cellStyle name="Moneda 15 3 2 4 2" xfId="1288"/>
    <cellStyle name="Moneda 15 3 2 5" xfId="816"/>
    <cellStyle name="Moneda 15 3 3" xfId="263"/>
    <cellStyle name="Moneda 15 3 3 2" xfId="894"/>
    <cellStyle name="Moneda 15 3 4" xfId="422"/>
    <cellStyle name="Moneda 15 3 4 2" xfId="1052"/>
    <cellStyle name="Moneda 15 3 5" xfId="580"/>
    <cellStyle name="Moneda 15 3 5 2" xfId="1210"/>
    <cellStyle name="Moneda 15 3 6" xfId="738"/>
    <cellStyle name="Moneda 15 4" xfId="133"/>
    <cellStyle name="Moneda 15 4 2" xfId="289"/>
    <cellStyle name="Moneda 15 4 2 2" xfId="920"/>
    <cellStyle name="Moneda 15 4 3" xfId="448"/>
    <cellStyle name="Moneda 15 4 3 2" xfId="1078"/>
    <cellStyle name="Moneda 15 4 4" xfId="606"/>
    <cellStyle name="Moneda 15 4 4 2" xfId="1236"/>
    <cellStyle name="Moneda 15 4 5" xfId="764"/>
    <cellStyle name="Moneda 15 5" xfId="211"/>
    <cellStyle name="Moneda 15 5 2" xfId="842"/>
    <cellStyle name="Moneda 15 6" xfId="370"/>
    <cellStyle name="Moneda 15 6 2" xfId="1000"/>
    <cellStyle name="Moneda 15 7" xfId="528"/>
    <cellStyle name="Moneda 15 7 2" xfId="1158"/>
    <cellStyle name="Moneda 15 8" xfId="686"/>
    <cellStyle name="Moneda 16" xfId="347"/>
    <cellStyle name="Moneda 16 2" xfId="506"/>
    <cellStyle name="Moneda 16 2 2" xfId="1136"/>
    <cellStyle name="Moneda 16 3" xfId="664"/>
    <cellStyle name="Moneda 16 3 2" xfId="1294"/>
    <cellStyle name="Moneda 16 3 3" xfId="1297"/>
    <cellStyle name="Moneda 16 3 4" xfId="1301"/>
    <cellStyle name="Moneda 16 3 5" xfId="1305"/>
    <cellStyle name="Moneda 16 4" xfId="978"/>
    <cellStyle name="Moneda 2" xfId="5"/>
    <cellStyle name="Moneda 2 10" xfId="667"/>
    <cellStyle name="Moneda 2 11" xfId="18"/>
    <cellStyle name="Moneda 2 2" xfId="12"/>
    <cellStyle name="Moneda 2 2 2" xfId="46"/>
    <cellStyle name="Moneda 2 3" xfId="45"/>
    <cellStyle name="Moneda 2 4" xfId="62"/>
    <cellStyle name="Moneda 2 4 2" xfId="140"/>
    <cellStyle name="Moneda 2 4 2 2" xfId="296"/>
    <cellStyle name="Moneda 2 4 2 2 2" xfId="927"/>
    <cellStyle name="Moneda 2 4 2 3" xfId="455"/>
    <cellStyle name="Moneda 2 4 2 3 2" xfId="1085"/>
    <cellStyle name="Moneda 2 4 2 4" xfId="613"/>
    <cellStyle name="Moneda 2 4 2 4 2" xfId="1243"/>
    <cellStyle name="Moneda 2 4 2 5" xfId="771"/>
    <cellStyle name="Moneda 2 4 3" xfId="218"/>
    <cellStyle name="Moneda 2 4 3 2" xfId="849"/>
    <cellStyle name="Moneda 2 4 4" xfId="377"/>
    <cellStyle name="Moneda 2 4 4 2" xfId="1007"/>
    <cellStyle name="Moneda 2 4 5" xfId="535"/>
    <cellStyle name="Moneda 2 4 5 2" xfId="1165"/>
    <cellStyle name="Moneda 2 4 6" xfId="693"/>
    <cellStyle name="Moneda 2 5" xfId="88"/>
    <cellStyle name="Moneda 2 5 2" xfId="166"/>
    <cellStyle name="Moneda 2 5 2 2" xfId="322"/>
    <cellStyle name="Moneda 2 5 2 2 2" xfId="953"/>
    <cellStyle name="Moneda 2 5 2 3" xfId="481"/>
    <cellStyle name="Moneda 2 5 2 3 2" xfId="1111"/>
    <cellStyle name="Moneda 2 5 2 4" xfId="639"/>
    <cellStyle name="Moneda 2 5 2 4 2" xfId="1269"/>
    <cellStyle name="Moneda 2 5 2 5" xfId="797"/>
    <cellStyle name="Moneda 2 5 3" xfId="244"/>
    <cellStyle name="Moneda 2 5 3 2" xfId="875"/>
    <cellStyle name="Moneda 2 5 4" xfId="403"/>
    <cellStyle name="Moneda 2 5 4 2" xfId="1033"/>
    <cellStyle name="Moneda 2 5 5" xfId="561"/>
    <cellStyle name="Moneda 2 5 5 2" xfId="1191"/>
    <cellStyle name="Moneda 2 5 6" xfId="719"/>
    <cellStyle name="Moneda 2 6" xfId="114"/>
    <cellStyle name="Moneda 2 6 2" xfId="270"/>
    <cellStyle name="Moneda 2 6 2 2" xfId="901"/>
    <cellStyle name="Moneda 2 6 3" xfId="429"/>
    <cellStyle name="Moneda 2 6 3 2" xfId="1059"/>
    <cellStyle name="Moneda 2 6 4" xfId="587"/>
    <cellStyle name="Moneda 2 6 4 2" xfId="1217"/>
    <cellStyle name="Moneda 2 6 5" xfId="745"/>
    <cellStyle name="Moneda 2 7" xfId="192"/>
    <cellStyle name="Moneda 2 7 2" xfId="823"/>
    <cellStyle name="Moneda 2 8" xfId="351"/>
    <cellStyle name="Moneda 2 8 2" xfId="981"/>
    <cellStyle name="Moneda 2 9" xfId="509"/>
    <cellStyle name="Moneda 2 9 2" xfId="1139"/>
    <cellStyle name="Moneda 3" xfId="29"/>
    <cellStyle name="Moneda 3 10" xfId="678"/>
    <cellStyle name="Moneda 3 2" xfId="48"/>
    <cellStyle name="Moneda 3 3" xfId="47"/>
    <cellStyle name="Moneda 3 4" xfId="73"/>
    <cellStyle name="Moneda 3 4 2" xfId="151"/>
    <cellStyle name="Moneda 3 4 2 2" xfId="307"/>
    <cellStyle name="Moneda 3 4 2 2 2" xfId="938"/>
    <cellStyle name="Moneda 3 4 2 3" xfId="466"/>
    <cellStyle name="Moneda 3 4 2 3 2" xfId="1096"/>
    <cellStyle name="Moneda 3 4 2 4" xfId="624"/>
    <cellStyle name="Moneda 3 4 2 4 2" xfId="1254"/>
    <cellStyle name="Moneda 3 4 2 5" xfId="782"/>
    <cellStyle name="Moneda 3 4 3" xfId="229"/>
    <cellStyle name="Moneda 3 4 3 2" xfId="860"/>
    <cellStyle name="Moneda 3 4 4" xfId="388"/>
    <cellStyle name="Moneda 3 4 4 2" xfId="1018"/>
    <cellStyle name="Moneda 3 4 5" xfId="546"/>
    <cellStyle name="Moneda 3 4 5 2" xfId="1176"/>
    <cellStyle name="Moneda 3 4 6" xfId="704"/>
    <cellStyle name="Moneda 3 5" xfId="99"/>
    <cellStyle name="Moneda 3 5 2" xfId="177"/>
    <cellStyle name="Moneda 3 5 2 2" xfId="333"/>
    <cellStyle name="Moneda 3 5 2 2 2" xfId="964"/>
    <cellStyle name="Moneda 3 5 2 3" xfId="492"/>
    <cellStyle name="Moneda 3 5 2 3 2" xfId="1122"/>
    <cellStyle name="Moneda 3 5 2 4" xfId="650"/>
    <cellStyle name="Moneda 3 5 2 4 2" xfId="1280"/>
    <cellStyle name="Moneda 3 5 2 5" xfId="808"/>
    <cellStyle name="Moneda 3 5 3" xfId="255"/>
    <cellStyle name="Moneda 3 5 3 2" xfId="886"/>
    <cellStyle name="Moneda 3 5 4" xfId="414"/>
    <cellStyle name="Moneda 3 5 4 2" xfId="1044"/>
    <cellStyle name="Moneda 3 5 5" xfId="572"/>
    <cellStyle name="Moneda 3 5 5 2" xfId="1202"/>
    <cellStyle name="Moneda 3 5 6" xfId="730"/>
    <cellStyle name="Moneda 3 6" xfId="125"/>
    <cellStyle name="Moneda 3 6 2" xfId="281"/>
    <cellStyle name="Moneda 3 6 2 2" xfId="912"/>
    <cellStyle name="Moneda 3 6 3" xfId="440"/>
    <cellStyle name="Moneda 3 6 3 2" xfId="1070"/>
    <cellStyle name="Moneda 3 6 4" xfId="598"/>
    <cellStyle name="Moneda 3 6 4 2" xfId="1228"/>
    <cellStyle name="Moneda 3 6 5" xfId="756"/>
    <cellStyle name="Moneda 3 7" xfId="203"/>
    <cellStyle name="Moneda 3 7 2" xfId="834"/>
    <cellStyle name="Moneda 3 8" xfId="362"/>
    <cellStyle name="Moneda 3 8 2" xfId="992"/>
    <cellStyle name="Moneda 3 9" xfId="520"/>
    <cellStyle name="Moneda 3 9 2" xfId="1150"/>
    <cellStyle name="Moneda 4" xfId="32"/>
    <cellStyle name="Moneda 4 10" xfId="680"/>
    <cellStyle name="Moneda 4 2" xfId="50"/>
    <cellStyle name="Moneda 4 3" xfId="49"/>
    <cellStyle name="Moneda 4 4" xfId="75"/>
    <cellStyle name="Moneda 4 4 2" xfId="153"/>
    <cellStyle name="Moneda 4 4 2 2" xfId="309"/>
    <cellStyle name="Moneda 4 4 2 2 2" xfId="940"/>
    <cellStyle name="Moneda 4 4 2 3" xfId="468"/>
    <cellStyle name="Moneda 4 4 2 3 2" xfId="1098"/>
    <cellStyle name="Moneda 4 4 2 4" xfId="626"/>
    <cellStyle name="Moneda 4 4 2 4 2" xfId="1256"/>
    <cellStyle name="Moneda 4 4 2 5" xfId="784"/>
    <cellStyle name="Moneda 4 4 3" xfId="231"/>
    <cellStyle name="Moneda 4 4 3 2" xfId="862"/>
    <cellStyle name="Moneda 4 4 4" xfId="390"/>
    <cellStyle name="Moneda 4 4 4 2" xfId="1020"/>
    <cellStyle name="Moneda 4 4 5" xfId="548"/>
    <cellStyle name="Moneda 4 4 5 2" xfId="1178"/>
    <cellStyle name="Moneda 4 4 6" xfId="706"/>
    <cellStyle name="Moneda 4 5" xfId="101"/>
    <cellStyle name="Moneda 4 5 2" xfId="179"/>
    <cellStyle name="Moneda 4 5 2 2" xfId="335"/>
    <cellStyle name="Moneda 4 5 2 2 2" xfId="966"/>
    <cellStyle name="Moneda 4 5 2 3" xfId="494"/>
    <cellStyle name="Moneda 4 5 2 3 2" xfId="1124"/>
    <cellStyle name="Moneda 4 5 2 4" xfId="652"/>
    <cellStyle name="Moneda 4 5 2 4 2" xfId="1282"/>
    <cellStyle name="Moneda 4 5 2 5" xfId="810"/>
    <cellStyle name="Moneda 4 5 3" xfId="257"/>
    <cellStyle name="Moneda 4 5 3 2" xfId="888"/>
    <cellStyle name="Moneda 4 5 4" xfId="416"/>
    <cellStyle name="Moneda 4 5 4 2" xfId="1046"/>
    <cellStyle name="Moneda 4 5 5" xfId="574"/>
    <cellStyle name="Moneda 4 5 5 2" xfId="1204"/>
    <cellStyle name="Moneda 4 5 6" xfId="732"/>
    <cellStyle name="Moneda 4 6" xfId="127"/>
    <cellStyle name="Moneda 4 6 2" xfId="283"/>
    <cellStyle name="Moneda 4 6 2 2" xfId="914"/>
    <cellStyle name="Moneda 4 6 3" xfId="442"/>
    <cellStyle name="Moneda 4 6 3 2" xfId="1072"/>
    <cellStyle name="Moneda 4 6 4" xfId="600"/>
    <cellStyle name="Moneda 4 6 4 2" xfId="1230"/>
    <cellStyle name="Moneda 4 6 5" xfId="758"/>
    <cellStyle name="Moneda 4 7" xfId="205"/>
    <cellStyle name="Moneda 4 7 2" xfId="836"/>
    <cellStyle name="Moneda 4 8" xfId="364"/>
    <cellStyle name="Moneda 4 8 2" xfId="994"/>
    <cellStyle name="Moneda 4 9" xfId="522"/>
    <cellStyle name="Moneda 4 9 2" xfId="1152"/>
    <cellStyle name="Moneda 5" xfId="31"/>
    <cellStyle name="Moneda 5 2" xfId="74"/>
    <cellStyle name="Moneda 5 2 2" xfId="152"/>
    <cellStyle name="Moneda 5 2 2 2" xfId="308"/>
    <cellStyle name="Moneda 5 2 2 2 2" xfId="939"/>
    <cellStyle name="Moneda 5 2 2 3" xfId="467"/>
    <cellStyle name="Moneda 5 2 2 3 2" xfId="1097"/>
    <cellStyle name="Moneda 5 2 2 4" xfId="625"/>
    <cellStyle name="Moneda 5 2 2 4 2" xfId="1255"/>
    <cellStyle name="Moneda 5 2 2 5" xfId="783"/>
    <cellStyle name="Moneda 5 2 3" xfId="230"/>
    <cellStyle name="Moneda 5 2 3 2" xfId="861"/>
    <cellStyle name="Moneda 5 2 4" xfId="389"/>
    <cellStyle name="Moneda 5 2 4 2" xfId="1019"/>
    <cellStyle name="Moneda 5 2 5" xfId="547"/>
    <cellStyle name="Moneda 5 2 5 2" xfId="1177"/>
    <cellStyle name="Moneda 5 2 6" xfId="705"/>
    <cellStyle name="Moneda 5 3" xfId="100"/>
    <cellStyle name="Moneda 5 3 2" xfId="178"/>
    <cellStyle name="Moneda 5 3 2 2" xfId="334"/>
    <cellStyle name="Moneda 5 3 2 2 2" xfId="965"/>
    <cellStyle name="Moneda 5 3 2 3" xfId="493"/>
    <cellStyle name="Moneda 5 3 2 3 2" xfId="1123"/>
    <cellStyle name="Moneda 5 3 2 4" xfId="651"/>
    <cellStyle name="Moneda 5 3 2 4 2" xfId="1281"/>
    <cellStyle name="Moneda 5 3 2 5" xfId="809"/>
    <cellStyle name="Moneda 5 3 3" xfId="256"/>
    <cellStyle name="Moneda 5 3 3 2" xfId="887"/>
    <cellStyle name="Moneda 5 3 4" xfId="415"/>
    <cellStyle name="Moneda 5 3 4 2" xfId="1045"/>
    <cellStyle name="Moneda 5 3 5" xfId="573"/>
    <cellStyle name="Moneda 5 3 5 2" xfId="1203"/>
    <cellStyle name="Moneda 5 3 6" xfId="731"/>
    <cellStyle name="Moneda 5 4" xfId="126"/>
    <cellStyle name="Moneda 5 4 2" xfId="282"/>
    <cellStyle name="Moneda 5 4 2 2" xfId="913"/>
    <cellStyle name="Moneda 5 4 3" xfId="441"/>
    <cellStyle name="Moneda 5 4 3 2" xfId="1071"/>
    <cellStyle name="Moneda 5 4 4" xfId="599"/>
    <cellStyle name="Moneda 5 4 4 2" xfId="1229"/>
    <cellStyle name="Moneda 5 4 5" xfId="757"/>
    <cellStyle name="Moneda 5 5" xfId="204"/>
    <cellStyle name="Moneda 5 5 2" xfId="835"/>
    <cellStyle name="Moneda 5 6" xfId="363"/>
    <cellStyle name="Moneda 5 6 2" xfId="993"/>
    <cellStyle name="Moneda 5 7" xfId="521"/>
    <cellStyle name="Moneda 5 7 2" xfId="1151"/>
    <cellStyle name="Moneda 5 8" xfId="679"/>
    <cellStyle name="Moneda 6" xfId="27"/>
    <cellStyle name="Moneda 6 2" xfId="71"/>
    <cellStyle name="Moneda 6 2 2" xfId="149"/>
    <cellStyle name="Moneda 6 2 2 2" xfId="305"/>
    <cellStyle name="Moneda 6 2 2 2 2" xfId="936"/>
    <cellStyle name="Moneda 6 2 2 3" xfId="464"/>
    <cellStyle name="Moneda 6 2 2 3 2" xfId="1094"/>
    <cellStyle name="Moneda 6 2 2 4" xfId="622"/>
    <cellStyle name="Moneda 6 2 2 4 2" xfId="1252"/>
    <cellStyle name="Moneda 6 2 2 5" xfId="780"/>
    <cellStyle name="Moneda 6 2 3" xfId="227"/>
    <cellStyle name="Moneda 6 2 3 2" xfId="858"/>
    <cellStyle name="Moneda 6 2 4" xfId="386"/>
    <cellStyle name="Moneda 6 2 4 2" xfId="1016"/>
    <cellStyle name="Moneda 6 2 5" xfId="544"/>
    <cellStyle name="Moneda 6 2 5 2" xfId="1174"/>
    <cellStyle name="Moneda 6 2 6" xfId="702"/>
    <cellStyle name="Moneda 6 3" xfId="97"/>
    <cellStyle name="Moneda 6 3 2" xfId="175"/>
    <cellStyle name="Moneda 6 3 2 2" xfId="331"/>
    <cellStyle name="Moneda 6 3 2 2 2" xfId="962"/>
    <cellStyle name="Moneda 6 3 2 3" xfId="490"/>
    <cellStyle name="Moneda 6 3 2 3 2" xfId="1120"/>
    <cellStyle name="Moneda 6 3 2 4" xfId="648"/>
    <cellStyle name="Moneda 6 3 2 4 2" xfId="1278"/>
    <cellStyle name="Moneda 6 3 2 5" xfId="806"/>
    <cellStyle name="Moneda 6 3 3" xfId="253"/>
    <cellStyle name="Moneda 6 3 3 2" xfId="884"/>
    <cellStyle name="Moneda 6 3 4" xfId="412"/>
    <cellStyle name="Moneda 6 3 4 2" xfId="1042"/>
    <cellStyle name="Moneda 6 3 5" xfId="570"/>
    <cellStyle name="Moneda 6 3 5 2" xfId="1200"/>
    <cellStyle name="Moneda 6 3 6" xfId="728"/>
    <cellStyle name="Moneda 6 4" xfId="123"/>
    <cellStyle name="Moneda 6 4 2" xfId="279"/>
    <cellStyle name="Moneda 6 4 2 2" xfId="910"/>
    <cellStyle name="Moneda 6 4 3" xfId="438"/>
    <cellStyle name="Moneda 6 4 3 2" xfId="1068"/>
    <cellStyle name="Moneda 6 4 4" xfId="596"/>
    <cellStyle name="Moneda 6 4 4 2" xfId="1226"/>
    <cellStyle name="Moneda 6 4 5" xfId="754"/>
    <cellStyle name="Moneda 6 5" xfId="201"/>
    <cellStyle name="Moneda 6 5 2" xfId="832"/>
    <cellStyle name="Moneda 6 6" xfId="360"/>
    <cellStyle name="Moneda 6 6 2" xfId="990"/>
    <cellStyle name="Moneda 6 7" xfId="518"/>
    <cellStyle name="Moneda 6 7 2" xfId="1148"/>
    <cellStyle name="Moneda 6 8" xfId="676"/>
    <cellStyle name="Moneda 7" xfId="33"/>
    <cellStyle name="Moneda 7 2" xfId="76"/>
    <cellStyle name="Moneda 7 2 2" xfId="154"/>
    <cellStyle name="Moneda 7 2 2 2" xfId="310"/>
    <cellStyle name="Moneda 7 2 2 2 2" xfId="941"/>
    <cellStyle name="Moneda 7 2 2 3" xfId="469"/>
    <cellStyle name="Moneda 7 2 2 3 2" xfId="1099"/>
    <cellStyle name="Moneda 7 2 2 4" xfId="627"/>
    <cellStyle name="Moneda 7 2 2 4 2" xfId="1257"/>
    <cellStyle name="Moneda 7 2 2 5" xfId="785"/>
    <cellStyle name="Moneda 7 2 3" xfId="232"/>
    <cellStyle name="Moneda 7 2 3 2" xfId="863"/>
    <cellStyle name="Moneda 7 2 4" xfId="391"/>
    <cellStyle name="Moneda 7 2 4 2" xfId="1021"/>
    <cellStyle name="Moneda 7 2 5" xfId="549"/>
    <cellStyle name="Moneda 7 2 5 2" xfId="1179"/>
    <cellStyle name="Moneda 7 2 6" xfId="707"/>
    <cellStyle name="Moneda 7 3" xfId="102"/>
    <cellStyle name="Moneda 7 3 2" xfId="180"/>
    <cellStyle name="Moneda 7 3 2 2" xfId="336"/>
    <cellStyle name="Moneda 7 3 2 2 2" xfId="967"/>
    <cellStyle name="Moneda 7 3 2 3" xfId="495"/>
    <cellStyle name="Moneda 7 3 2 3 2" xfId="1125"/>
    <cellStyle name="Moneda 7 3 2 4" xfId="653"/>
    <cellStyle name="Moneda 7 3 2 4 2" xfId="1283"/>
    <cellStyle name="Moneda 7 3 2 5" xfId="811"/>
    <cellStyle name="Moneda 7 3 3" xfId="258"/>
    <cellStyle name="Moneda 7 3 3 2" xfId="889"/>
    <cellStyle name="Moneda 7 3 4" xfId="417"/>
    <cellStyle name="Moneda 7 3 4 2" xfId="1047"/>
    <cellStyle name="Moneda 7 3 5" xfId="575"/>
    <cellStyle name="Moneda 7 3 5 2" xfId="1205"/>
    <cellStyle name="Moneda 7 3 6" xfId="733"/>
    <cellStyle name="Moneda 7 4" xfId="128"/>
    <cellStyle name="Moneda 7 4 2" xfId="284"/>
    <cellStyle name="Moneda 7 4 2 2" xfId="915"/>
    <cellStyle name="Moneda 7 4 3" xfId="443"/>
    <cellStyle name="Moneda 7 4 3 2" xfId="1073"/>
    <cellStyle name="Moneda 7 4 4" xfId="601"/>
    <cellStyle name="Moneda 7 4 4 2" xfId="1231"/>
    <cellStyle name="Moneda 7 4 5" xfId="759"/>
    <cellStyle name="Moneda 7 5" xfId="206"/>
    <cellStyle name="Moneda 7 5 2" xfId="837"/>
    <cellStyle name="Moneda 7 6" xfId="365"/>
    <cellStyle name="Moneda 7 6 2" xfId="995"/>
    <cellStyle name="Moneda 7 7" xfId="523"/>
    <cellStyle name="Moneda 7 7 2" xfId="1153"/>
    <cellStyle name="Moneda 7 8" xfId="681"/>
    <cellStyle name="Moneda 8" xfId="23"/>
    <cellStyle name="Moneda 8 2" xfId="67"/>
    <cellStyle name="Moneda 8 2 2" xfId="145"/>
    <cellStyle name="Moneda 8 2 2 2" xfId="301"/>
    <cellStyle name="Moneda 8 2 2 2 2" xfId="932"/>
    <cellStyle name="Moneda 8 2 2 3" xfId="460"/>
    <cellStyle name="Moneda 8 2 2 3 2" xfId="1090"/>
    <cellStyle name="Moneda 8 2 2 4" xfId="618"/>
    <cellStyle name="Moneda 8 2 2 4 2" xfId="1248"/>
    <cellStyle name="Moneda 8 2 2 5" xfId="776"/>
    <cellStyle name="Moneda 8 2 3" xfId="223"/>
    <cellStyle name="Moneda 8 2 3 2" xfId="854"/>
    <cellStyle name="Moneda 8 2 4" xfId="382"/>
    <cellStyle name="Moneda 8 2 4 2" xfId="1012"/>
    <cellStyle name="Moneda 8 2 5" xfId="540"/>
    <cellStyle name="Moneda 8 2 5 2" xfId="1170"/>
    <cellStyle name="Moneda 8 2 6" xfId="698"/>
    <cellStyle name="Moneda 8 3" xfId="93"/>
    <cellStyle name="Moneda 8 3 2" xfId="171"/>
    <cellStyle name="Moneda 8 3 2 2" xfId="327"/>
    <cellStyle name="Moneda 8 3 2 2 2" xfId="958"/>
    <cellStyle name="Moneda 8 3 2 3" xfId="486"/>
    <cellStyle name="Moneda 8 3 2 3 2" xfId="1116"/>
    <cellStyle name="Moneda 8 3 2 4" xfId="644"/>
    <cellStyle name="Moneda 8 3 2 4 2" xfId="1274"/>
    <cellStyle name="Moneda 8 3 2 5" xfId="802"/>
    <cellStyle name="Moneda 8 3 3" xfId="249"/>
    <cellStyle name="Moneda 8 3 3 2" xfId="880"/>
    <cellStyle name="Moneda 8 3 4" xfId="408"/>
    <cellStyle name="Moneda 8 3 4 2" xfId="1038"/>
    <cellStyle name="Moneda 8 3 5" xfId="566"/>
    <cellStyle name="Moneda 8 3 5 2" xfId="1196"/>
    <cellStyle name="Moneda 8 3 6" xfId="724"/>
    <cellStyle name="Moneda 8 4" xfId="119"/>
    <cellStyle name="Moneda 8 4 2" xfId="275"/>
    <cellStyle name="Moneda 8 4 2 2" xfId="906"/>
    <cellStyle name="Moneda 8 4 3" xfId="434"/>
    <cellStyle name="Moneda 8 4 3 2" xfId="1064"/>
    <cellStyle name="Moneda 8 4 4" xfId="592"/>
    <cellStyle name="Moneda 8 4 4 2" xfId="1222"/>
    <cellStyle name="Moneda 8 4 5" xfId="750"/>
    <cellStyle name="Moneda 8 5" xfId="197"/>
    <cellStyle name="Moneda 8 5 2" xfId="828"/>
    <cellStyle name="Moneda 8 6" xfId="356"/>
    <cellStyle name="Moneda 8 6 2" xfId="986"/>
    <cellStyle name="Moneda 8 7" xfId="514"/>
    <cellStyle name="Moneda 8 7 2" xfId="1144"/>
    <cellStyle name="Moneda 8 8" xfId="672"/>
    <cellStyle name="Moneda 9" xfId="24"/>
    <cellStyle name="Moneda 9 2" xfId="68"/>
    <cellStyle name="Moneda 9 2 2" xfId="146"/>
    <cellStyle name="Moneda 9 2 2 2" xfId="302"/>
    <cellStyle name="Moneda 9 2 2 2 2" xfId="933"/>
    <cellStyle name="Moneda 9 2 2 3" xfId="461"/>
    <cellStyle name="Moneda 9 2 2 3 2" xfId="1091"/>
    <cellStyle name="Moneda 9 2 2 4" xfId="619"/>
    <cellStyle name="Moneda 9 2 2 4 2" xfId="1249"/>
    <cellStyle name="Moneda 9 2 2 5" xfId="777"/>
    <cellStyle name="Moneda 9 2 3" xfId="224"/>
    <cellStyle name="Moneda 9 2 3 2" xfId="855"/>
    <cellStyle name="Moneda 9 2 4" xfId="383"/>
    <cellStyle name="Moneda 9 2 4 2" xfId="1013"/>
    <cellStyle name="Moneda 9 2 5" xfId="541"/>
    <cellStyle name="Moneda 9 2 5 2" xfId="1171"/>
    <cellStyle name="Moneda 9 2 6" xfId="699"/>
    <cellStyle name="Moneda 9 3" xfId="94"/>
    <cellStyle name="Moneda 9 3 2" xfId="172"/>
    <cellStyle name="Moneda 9 3 2 2" xfId="328"/>
    <cellStyle name="Moneda 9 3 2 2 2" xfId="959"/>
    <cellStyle name="Moneda 9 3 2 3" xfId="487"/>
    <cellStyle name="Moneda 9 3 2 3 2" xfId="1117"/>
    <cellStyle name="Moneda 9 3 2 4" xfId="645"/>
    <cellStyle name="Moneda 9 3 2 4 2" xfId="1275"/>
    <cellStyle name="Moneda 9 3 2 5" xfId="803"/>
    <cellStyle name="Moneda 9 3 3" xfId="250"/>
    <cellStyle name="Moneda 9 3 3 2" xfId="881"/>
    <cellStyle name="Moneda 9 3 4" xfId="409"/>
    <cellStyle name="Moneda 9 3 4 2" xfId="1039"/>
    <cellStyle name="Moneda 9 3 5" xfId="567"/>
    <cellStyle name="Moneda 9 3 5 2" xfId="1197"/>
    <cellStyle name="Moneda 9 3 6" xfId="725"/>
    <cellStyle name="Moneda 9 4" xfId="120"/>
    <cellStyle name="Moneda 9 4 2" xfId="276"/>
    <cellStyle name="Moneda 9 4 2 2" xfId="907"/>
    <cellStyle name="Moneda 9 4 3" xfId="435"/>
    <cellStyle name="Moneda 9 4 3 2" xfId="1065"/>
    <cellStyle name="Moneda 9 4 4" xfId="593"/>
    <cellStyle name="Moneda 9 4 4 2" xfId="1223"/>
    <cellStyle name="Moneda 9 4 5" xfId="751"/>
    <cellStyle name="Moneda 9 5" xfId="198"/>
    <cellStyle name="Moneda 9 5 2" xfId="829"/>
    <cellStyle name="Moneda 9 6" xfId="357"/>
    <cellStyle name="Moneda 9 6 2" xfId="987"/>
    <cellStyle name="Moneda 9 7" xfId="515"/>
    <cellStyle name="Moneda 9 7 2" xfId="1145"/>
    <cellStyle name="Moneda 9 8" xfId="673"/>
    <cellStyle name="Normal" xfId="0" builtinId="0"/>
    <cellStyle name="Normal 2" xfId="6"/>
    <cellStyle name="Normal 2 10" xfId="352"/>
    <cellStyle name="Normal 2 10 2" xfId="982"/>
    <cellStyle name="Normal 2 11" xfId="510"/>
    <cellStyle name="Normal 2 11 2" xfId="1140"/>
    <cellStyle name="Normal 2 12" xfId="668"/>
    <cellStyle name="Normal 2 13" xfId="19"/>
    <cellStyle name="Normal 2 2" xfId="13"/>
    <cellStyle name="Normal 2 2 2" xfId="52"/>
    <cellStyle name="Normal 2 3" xfId="53"/>
    <cellStyle name="Normal 2 4" xfId="51"/>
    <cellStyle name="Normal 2 4 2" xfId="82"/>
    <cellStyle name="Normal 2 4 2 2" xfId="160"/>
    <cellStyle name="Normal 2 4 2 2 2" xfId="316"/>
    <cellStyle name="Normal 2 4 2 2 2 2" xfId="947"/>
    <cellStyle name="Normal 2 4 2 2 3" xfId="475"/>
    <cellStyle name="Normal 2 4 2 2 3 2" xfId="1105"/>
    <cellStyle name="Normal 2 4 2 2 4" xfId="633"/>
    <cellStyle name="Normal 2 4 2 2 4 2" xfId="1263"/>
    <cellStyle name="Normal 2 4 2 2 5" xfId="791"/>
    <cellStyle name="Normal 2 4 2 3" xfId="238"/>
    <cellStyle name="Normal 2 4 2 3 2" xfId="869"/>
    <cellStyle name="Normal 2 4 2 4" xfId="397"/>
    <cellStyle name="Normal 2 4 2 4 2" xfId="1027"/>
    <cellStyle name="Normal 2 4 2 5" xfId="555"/>
    <cellStyle name="Normal 2 4 2 5 2" xfId="1185"/>
    <cellStyle name="Normal 2 4 2 6" xfId="713"/>
    <cellStyle name="Normal 2 4 3" xfId="108"/>
    <cellStyle name="Normal 2 4 3 2" xfId="186"/>
    <cellStyle name="Normal 2 4 3 2 2" xfId="342"/>
    <cellStyle name="Normal 2 4 3 2 2 2" xfId="973"/>
    <cellStyle name="Normal 2 4 3 2 3" xfId="501"/>
    <cellStyle name="Normal 2 4 3 2 3 2" xfId="1131"/>
    <cellStyle name="Normal 2 4 3 2 4" xfId="659"/>
    <cellStyle name="Normal 2 4 3 2 4 2" xfId="1289"/>
    <cellStyle name="Normal 2 4 3 2 5" xfId="817"/>
    <cellStyle name="Normal 2 4 3 3" xfId="264"/>
    <cellStyle name="Normal 2 4 3 3 2" xfId="895"/>
    <cellStyle name="Normal 2 4 3 4" xfId="423"/>
    <cellStyle name="Normal 2 4 3 4 2" xfId="1053"/>
    <cellStyle name="Normal 2 4 3 5" xfId="581"/>
    <cellStyle name="Normal 2 4 3 5 2" xfId="1211"/>
    <cellStyle name="Normal 2 4 3 6" xfId="739"/>
    <cellStyle name="Normal 2 4 4" xfId="134"/>
    <cellStyle name="Normal 2 4 4 2" xfId="290"/>
    <cellStyle name="Normal 2 4 4 2 2" xfId="921"/>
    <cellStyle name="Normal 2 4 4 3" xfId="449"/>
    <cellStyle name="Normal 2 4 4 3 2" xfId="1079"/>
    <cellStyle name="Normal 2 4 4 4" xfId="607"/>
    <cellStyle name="Normal 2 4 4 4 2" xfId="1237"/>
    <cellStyle name="Normal 2 4 4 5" xfId="765"/>
    <cellStyle name="Normal 2 4 5" xfId="212"/>
    <cellStyle name="Normal 2 4 5 2" xfId="843"/>
    <cellStyle name="Normal 2 4 6" xfId="371"/>
    <cellStyle name="Normal 2 4 6 2" xfId="1001"/>
    <cellStyle name="Normal 2 4 7" xfId="529"/>
    <cellStyle name="Normal 2 4 7 2" xfId="1159"/>
    <cellStyle name="Normal 2 4 8" xfId="687"/>
    <cellStyle name="Normal 2 5" xfId="63"/>
    <cellStyle name="Normal 2 5 2" xfId="141"/>
    <cellStyle name="Normal 2 5 2 2" xfId="297"/>
    <cellStyle name="Normal 2 5 2 2 2" xfId="928"/>
    <cellStyle name="Normal 2 5 2 3" xfId="456"/>
    <cellStyle name="Normal 2 5 2 3 2" xfId="1086"/>
    <cellStyle name="Normal 2 5 2 4" xfId="614"/>
    <cellStyle name="Normal 2 5 2 4 2" xfId="1244"/>
    <cellStyle name="Normal 2 5 2 5" xfId="772"/>
    <cellStyle name="Normal 2 5 3" xfId="219"/>
    <cellStyle name="Normal 2 5 3 2" xfId="850"/>
    <cellStyle name="Normal 2 5 4" xfId="378"/>
    <cellStyle name="Normal 2 5 4 2" xfId="1008"/>
    <cellStyle name="Normal 2 5 5" xfId="536"/>
    <cellStyle name="Normal 2 5 5 2" xfId="1166"/>
    <cellStyle name="Normal 2 5 6" xfId="694"/>
    <cellStyle name="Normal 2 6" xfId="89"/>
    <cellStyle name="Normal 2 6 2" xfId="167"/>
    <cellStyle name="Normal 2 6 2 2" xfId="323"/>
    <cellStyle name="Normal 2 6 2 2 2" xfId="954"/>
    <cellStyle name="Normal 2 6 2 3" xfId="482"/>
    <cellStyle name="Normal 2 6 2 3 2" xfId="1112"/>
    <cellStyle name="Normal 2 6 2 4" xfId="640"/>
    <cellStyle name="Normal 2 6 2 4 2" xfId="1270"/>
    <cellStyle name="Normal 2 6 2 5" xfId="798"/>
    <cellStyle name="Normal 2 6 3" xfId="245"/>
    <cellStyle name="Normal 2 6 3 2" xfId="876"/>
    <cellStyle name="Normal 2 6 4" xfId="404"/>
    <cellStyle name="Normal 2 6 4 2" xfId="1034"/>
    <cellStyle name="Normal 2 6 5" xfId="562"/>
    <cellStyle name="Normal 2 6 5 2" xfId="1192"/>
    <cellStyle name="Normal 2 6 6" xfId="720"/>
    <cellStyle name="Normal 2 7" xfId="115"/>
    <cellStyle name="Normal 2 7 2" xfId="271"/>
    <cellStyle name="Normal 2 7 2 2" xfId="902"/>
    <cellStyle name="Normal 2 7 3" xfId="430"/>
    <cellStyle name="Normal 2 7 3 2" xfId="1060"/>
    <cellStyle name="Normal 2 7 4" xfId="588"/>
    <cellStyle name="Normal 2 7 4 2" xfId="1218"/>
    <cellStyle name="Normal 2 7 5" xfId="746"/>
    <cellStyle name="Normal 2 8" xfId="348"/>
    <cellStyle name="Normal 2 9" xfId="193"/>
    <cellStyle name="Normal 2 9 2" xfId="824"/>
    <cellStyle name="Normal 3" xfId="15"/>
    <cellStyle name="Normal 3 10" xfId="669"/>
    <cellStyle name="Normal 3 11" xfId="20"/>
    <cellStyle name="Normal 3 2" xfId="55"/>
    <cellStyle name="Normal 3 2 2" xfId="84"/>
    <cellStyle name="Normal 3 2 2 2" xfId="162"/>
    <cellStyle name="Normal 3 2 2 2 2" xfId="318"/>
    <cellStyle name="Normal 3 2 2 2 2 2" xfId="949"/>
    <cellStyle name="Normal 3 2 2 2 3" xfId="477"/>
    <cellStyle name="Normal 3 2 2 2 3 2" xfId="1107"/>
    <cellStyle name="Normal 3 2 2 2 4" xfId="635"/>
    <cellStyle name="Normal 3 2 2 2 4 2" xfId="1265"/>
    <cellStyle name="Normal 3 2 2 2 5" xfId="793"/>
    <cellStyle name="Normal 3 2 2 3" xfId="240"/>
    <cellStyle name="Normal 3 2 2 3 2" xfId="871"/>
    <cellStyle name="Normal 3 2 2 4" xfId="399"/>
    <cellStyle name="Normal 3 2 2 4 2" xfId="1029"/>
    <cellStyle name="Normal 3 2 2 5" xfId="557"/>
    <cellStyle name="Normal 3 2 2 5 2" xfId="1187"/>
    <cellStyle name="Normal 3 2 2 6" xfId="715"/>
    <cellStyle name="Normal 3 2 3" xfId="110"/>
    <cellStyle name="Normal 3 2 3 2" xfId="188"/>
    <cellStyle name="Normal 3 2 3 2 2" xfId="344"/>
    <cellStyle name="Normal 3 2 3 2 2 2" xfId="975"/>
    <cellStyle name="Normal 3 2 3 2 3" xfId="503"/>
    <cellStyle name="Normal 3 2 3 2 3 2" xfId="1133"/>
    <cellStyle name="Normal 3 2 3 2 4" xfId="661"/>
    <cellStyle name="Normal 3 2 3 2 4 2" xfId="1291"/>
    <cellStyle name="Normal 3 2 3 2 5" xfId="819"/>
    <cellStyle name="Normal 3 2 3 3" xfId="266"/>
    <cellStyle name="Normal 3 2 3 3 2" xfId="897"/>
    <cellStyle name="Normal 3 2 3 4" xfId="425"/>
    <cellStyle name="Normal 3 2 3 4 2" xfId="1055"/>
    <cellStyle name="Normal 3 2 3 5" xfId="583"/>
    <cellStyle name="Normal 3 2 3 5 2" xfId="1213"/>
    <cellStyle name="Normal 3 2 3 6" xfId="741"/>
    <cellStyle name="Normal 3 2 4" xfId="136"/>
    <cellStyle name="Normal 3 2 4 2" xfId="292"/>
    <cellStyle name="Normal 3 2 4 2 2" xfId="923"/>
    <cellStyle name="Normal 3 2 4 3" xfId="451"/>
    <cellStyle name="Normal 3 2 4 3 2" xfId="1081"/>
    <cellStyle name="Normal 3 2 4 4" xfId="609"/>
    <cellStyle name="Normal 3 2 4 4 2" xfId="1239"/>
    <cellStyle name="Normal 3 2 4 5" xfId="767"/>
    <cellStyle name="Normal 3 2 5" xfId="214"/>
    <cellStyle name="Normal 3 2 5 2" xfId="845"/>
    <cellStyle name="Normal 3 2 6" xfId="373"/>
    <cellStyle name="Normal 3 2 6 2" xfId="1003"/>
    <cellStyle name="Normal 3 2 7" xfId="531"/>
    <cellStyle name="Normal 3 2 7 2" xfId="1161"/>
    <cellStyle name="Normal 3 2 8" xfId="689"/>
    <cellStyle name="Normal 3 2 9" xfId="1295"/>
    <cellStyle name="Normal 3 3" xfId="54"/>
    <cellStyle name="Normal 3 3 2" xfId="83"/>
    <cellStyle name="Normal 3 3 2 2" xfId="161"/>
    <cellStyle name="Normal 3 3 2 2 2" xfId="317"/>
    <cellStyle name="Normal 3 3 2 2 2 2" xfId="948"/>
    <cellStyle name="Normal 3 3 2 2 3" xfId="476"/>
    <cellStyle name="Normal 3 3 2 2 3 2" xfId="1106"/>
    <cellStyle name="Normal 3 3 2 2 4" xfId="634"/>
    <cellStyle name="Normal 3 3 2 2 4 2" xfId="1264"/>
    <cellStyle name="Normal 3 3 2 2 5" xfId="792"/>
    <cellStyle name="Normal 3 3 2 3" xfId="239"/>
    <cellStyle name="Normal 3 3 2 3 2" xfId="870"/>
    <cellStyle name="Normal 3 3 2 4" xfId="398"/>
    <cellStyle name="Normal 3 3 2 4 2" xfId="1028"/>
    <cellStyle name="Normal 3 3 2 5" xfId="556"/>
    <cellStyle name="Normal 3 3 2 5 2" xfId="1186"/>
    <cellStyle name="Normal 3 3 2 6" xfId="714"/>
    <cellStyle name="Normal 3 3 3" xfId="109"/>
    <cellStyle name="Normal 3 3 3 2" xfId="187"/>
    <cellStyle name="Normal 3 3 3 2 2" xfId="343"/>
    <cellStyle name="Normal 3 3 3 2 2 2" xfId="974"/>
    <cellStyle name="Normal 3 3 3 2 3" xfId="502"/>
    <cellStyle name="Normal 3 3 3 2 3 2" xfId="1132"/>
    <cellStyle name="Normal 3 3 3 2 4" xfId="660"/>
    <cellStyle name="Normal 3 3 3 2 4 2" xfId="1290"/>
    <cellStyle name="Normal 3 3 3 2 5" xfId="818"/>
    <cellStyle name="Normal 3 3 3 3" xfId="265"/>
    <cellStyle name="Normal 3 3 3 3 2" xfId="896"/>
    <cellStyle name="Normal 3 3 3 4" xfId="424"/>
    <cellStyle name="Normal 3 3 3 4 2" xfId="1054"/>
    <cellStyle name="Normal 3 3 3 5" xfId="582"/>
    <cellStyle name="Normal 3 3 3 5 2" xfId="1212"/>
    <cellStyle name="Normal 3 3 3 6" xfId="740"/>
    <cellStyle name="Normal 3 3 4" xfId="135"/>
    <cellStyle name="Normal 3 3 4 2" xfId="291"/>
    <cellStyle name="Normal 3 3 4 2 2" xfId="922"/>
    <cellStyle name="Normal 3 3 4 3" xfId="450"/>
    <cellStyle name="Normal 3 3 4 3 2" xfId="1080"/>
    <cellStyle name="Normal 3 3 4 4" xfId="608"/>
    <cellStyle name="Normal 3 3 4 4 2" xfId="1238"/>
    <cellStyle name="Normal 3 3 4 5" xfId="766"/>
    <cellStyle name="Normal 3 3 5" xfId="213"/>
    <cellStyle name="Normal 3 3 5 2" xfId="844"/>
    <cellStyle name="Normal 3 3 6" xfId="372"/>
    <cellStyle name="Normal 3 3 6 2" xfId="1002"/>
    <cellStyle name="Normal 3 3 7" xfId="530"/>
    <cellStyle name="Normal 3 3 7 2" xfId="1160"/>
    <cellStyle name="Normal 3 3 8" xfId="688"/>
    <cellStyle name="Normal 3 4" xfId="64"/>
    <cellStyle name="Normal 3 4 2" xfId="142"/>
    <cellStyle name="Normal 3 4 2 2" xfId="298"/>
    <cellStyle name="Normal 3 4 2 2 2" xfId="929"/>
    <cellStyle name="Normal 3 4 2 3" xfId="457"/>
    <cellStyle name="Normal 3 4 2 3 2" xfId="1087"/>
    <cellStyle name="Normal 3 4 2 4" xfId="615"/>
    <cellStyle name="Normal 3 4 2 4 2" xfId="1245"/>
    <cellStyle name="Normal 3 4 2 5" xfId="773"/>
    <cellStyle name="Normal 3 4 3" xfId="220"/>
    <cellStyle name="Normal 3 4 3 2" xfId="851"/>
    <cellStyle name="Normal 3 4 4" xfId="379"/>
    <cellStyle name="Normal 3 4 4 2" xfId="1009"/>
    <cellStyle name="Normal 3 4 5" xfId="537"/>
    <cellStyle name="Normal 3 4 5 2" xfId="1167"/>
    <cellStyle name="Normal 3 4 6" xfId="695"/>
    <cellStyle name="Normal 3 5" xfId="90"/>
    <cellStyle name="Normal 3 5 2" xfId="168"/>
    <cellStyle name="Normal 3 5 2 2" xfId="324"/>
    <cellStyle name="Normal 3 5 2 2 2" xfId="955"/>
    <cellStyle name="Normal 3 5 2 3" xfId="483"/>
    <cellStyle name="Normal 3 5 2 3 2" xfId="1113"/>
    <cellStyle name="Normal 3 5 2 4" xfId="641"/>
    <cellStyle name="Normal 3 5 2 4 2" xfId="1271"/>
    <cellStyle name="Normal 3 5 2 5" xfId="799"/>
    <cellStyle name="Normal 3 5 3" xfId="246"/>
    <cellStyle name="Normal 3 5 3 2" xfId="877"/>
    <cellStyle name="Normal 3 5 4" xfId="405"/>
    <cellStyle name="Normal 3 5 4 2" xfId="1035"/>
    <cellStyle name="Normal 3 5 5" xfId="563"/>
    <cellStyle name="Normal 3 5 5 2" xfId="1193"/>
    <cellStyle name="Normal 3 5 6" xfId="721"/>
    <cellStyle name="Normal 3 6" xfId="116"/>
    <cellStyle name="Normal 3 6 2" xfId="272"/>
    <cellStyle name="Normal 3 6 2 2" xfId="903"/>
    <cellStyle name="Normal 3 6 3" xfId="431"/>
    <cellStyle name="Normal 3 6 3 2" xfId="1061"/>
    <cellStyle name="Normal 3 6 4" xfId="589"/>
    <cellStyle name="Normal 3 6 4 2" xfId="1219"/>
    <cellStyle name="Normal 3 6 5" xfId="747"/>
    <cellStyle name="Normal 3 7" xfId="194"/>
    <cellStyle name="Normal 3 7 2" xfId="825"/>
    <cellStyle name="Normal 3 8" xfId="353"/>
    <cellStyle name="Normal 3 8 2" xfId="983"/>
    <cellStyle name="Normal 3 9" xfId="511"/>
    <cellStyle name="Normal 3 9 2" xfId="1141"/>
    <cellStyle name="Normal 4" xfId="22"/>
    <cellStyle name="Normal 4 2" xfId="56"/>
    <cellStyle name="Normal 4 2 2" xfId="85"/>
    <cellStyle name="Normal 4 2 2 2" xfId="163"/>
    <cellStyle name="Normal 4 2 2 2 2" xfId="319"/>
    <cellStyle name="Normal 4 2 2 2 2 2" xfId="950"/>
    <cellStyle name="Normal 4 2 2 2 3" xfId="478"/>
    <cellStyle name="Normal 4 2 2 2 3 2" xfId="1108"/>
    <cellStyle name="Normal 4 2 2 2 4" xfId="636"/>
    <cellStyle name="Normal 4 2 2 2 4 2" xfId="1266"/>
    <cellStyle name="Normal 4 2 2 2 5" xfId="794"/>
    <cellStyle name="Normal 4 2 2 3" xfId="241"/>
    <cellStyle name="Normal 4 2 2 3 2" xfId="872"/>
    <cellStyle name="Normal 4 2 2 4" xfId="400"/>
    <cellStyle name="Normal 4 2 2 4 2" xfId="1030"/>
    <cellStyle name="Normal 4 2 2 5" xfId="558"/>
    <cellStyle name="Normal 4 2 2 5 2" xfId="1188"/>
    <cellStyle name="Normal 4 2 2 6" xfId="716"/>
    <cellStyle name="Normal 4 2 3" xfId="111"/>
    <cellStyle name="Normal 4 2 3 2" xfId="189"/>
    <cellStyle name="Normal 4 2 3 2 2" xfId="345"/>
    <cellStyle name="Normal 4 2 3 2 2 2" xfId="976"/>
    <cellStyle name="Normal 4 2 3 2 3" xfId="504"/>
    <cellStyle name="Normal 4 2 3 2 3 2" xfId="1134"/>
    <cellStyle name="Normal 4 2 3 2 4" xfId="662"/>
    <cellStyle name="Normal 4 2 3 2 4 2" xfId="1292"/>
    <cellStyle name="Normal 4 2 3 2 5" xfId="820"/>
    <cellStyle name="Normal 4 2 3 3" xfId="267"/>
    <cellStyle name="Normal 4 2 3 3 2" xfId="898"/>
    <cellStyle name="Normal 4 2 3 4" xfId="426"/>
    <cellStyle name="Normal 4 2 3 4 2" xfId="1056"/>
    <cellStyle name="Normal 4 2 3 5" xfId="584"/>
    <cellStyle name="Normal 4 2 3 5 2" xfId="1214"/>
    <cellStyle name="Normal 4 2 3 6" xfId="742"/>
    <cellStyle name="Normal 4 2 4" xfId="137"/>
    <cellStyle name="Normal 4 2 4 2" xfId="293"/>
    <cellStyle name="Normal 4 2 4 2 2" xfId="924"/>
    <cellStyle name="Normal 4 2 4 3" xfId="452"/>
    <cellStyle name="Normal 4 2 4 3 2" xfId="1082"/>
    <cellStyle name="Normal 4 2 4 4" xfId="610"/>
    <cellStyle name="Normal 4 2 4 4 2" xfId="1240"/>
    <cellStyle name="Normal 4 2 4 5" xfId="768"/>
    <cellStyle name="Normal 4 2 5" xfId="215"/>
    <cellStyle name="Normal 4 2 5 2" xfId="846"/>
    <cellStyle name="Normal 4 2 6" xfId="374"/>
    <cellStyle name="Normal 4 2 6 2" xfId="1004"/>
    <cellStyle name="Normal 4 2 7" xfId="532"/>
    <cellStyle name="Normal 4 2 7 2" xfId="1162"/>
    <cellStyle name="Normal 4 2 8" xfId="690"/>
    <cellStyle name="Normal 4 3" xfId="66"/>
    <cellStyle name="Normal 4 3 2" xfId="144"/>
    <cellStyle name="Normal 4 3 2 2" xfId="300"/>
    <cellStyle name="Normal 4 3 2 2 2" xfId="931"/>
    <cellStyle name="Normal 4 3 2 3" xfId="459"/>
    <cellStyle name="Normal 4 3 2 3 2" xfId="1089"/>
    <cellStyle name="Normal 4 3 2 4" xfId="617"/>
    <cellStyle name="Normal 4 3 2 4 2" xfId="1247"/>
    <cellStyle name="Normal 4 3 2 5" xfId="775"/>
    <cellStyle name="Normal 4 3 3" xfId="222"/>
    <cellStyle name="Normal 4 3 3 2" xfId="853"/>
    <cellStyle name="Normal 4 3 4" xfId="381"/>
    <cellStyle name="Normal 4 3 4 2" xfId="1011"/>
    <cellStyle name="Normal 4 3 5" xfId="539"/>
    <cellStyle name="Normal 4 3 5 2" xfId="1169"/>
    <cellStyle name="Normal 4 3 6" xfId="697"/>
    <cellStyle name="Normal 4 4" xfId="92"/>
    <cellStyle name="Normal 4 4 2" xfId="170"/>
    <cellStyle name="Normal 4 4 2 2" xfId="326"/>
    <cellStyle name="Normal 4 4 2 2 2" xfId="957"/>
    <cellStyle name="Normal 4 4 2 3" xfId="485"/>
    <cellStyle name="Normal 4 4 2 3 2" xfId="1115"/>
    <cellStyle name="Normal 4 4 2 4" xfId="643"/>
    <cellStyle name="Normal 4 4 2 4 2" xfId="1273"/>
    <cellStyle name="Normal 4 4 2 5" xfId="801"/>
    <cellStyle name="Normal 4 4 3" xfId="248"/>
    <cellStyle name="Normal 4 4 3 2" xfId="879"/>
    <cellStyle name="Normal 4 4 4" xfId="407"/>
    <cellStyle name="Normal 4 4 4 2" xfId="1037"/>
    <cellStyle name="Normal 4 4 5" xfId="565"/>
    <cellStyle name="Normal 4 4 5 2" xfId="1195"/>
    <cellStyle name="Normal 4 4 6" xfId="723"/>
    <cellStyle name="Normal 4 5" xfId="118"/>
    <cellStyle name="Normal 4 5 2" xfId="274"/>
    <cellStyle name="Normal 4 5 2 2" xfId="905"/>
    <cellStyle name="Normal 4 5 3" xfId="433"/>
    <cellStyle name="Normal 4 5 3 2" xfId="1063"/>
    <cellStyle name="Normal 4 5 4" xfId="591"/>
    <cellStyle name="Normal 4 5 4 2" xfId="1221"/>
    <cellStyle name="Normal 4 5 5" xfId="749"/>
    <cellStyle name="Normal 4 6" xfId="196"/>
    <cellStyle name="Normal 4 6 2" xfId="827"/>
    <cellStyle name="Normal 4 7" xfId="355"/>
    <cellStyle name="Normal 4 7 2" xfId="985"/>
    <cellStyle name="Normal 4 8" xfId="513"/>
    <cellStyle name="Normal 4 8 2" xfId="1143"/>
    <cellStyle name="Normal 4 9" xfId="671"/>
    <cellStyle name="Normal 5" xfId="26"/>
    <cellStyle name="Normal 5 2" xfId="57"/>
    <cellStyle name="Normal 5 3" xfId="70"/>
    <cellStyle name="Normal 5 3 2" xfId="148"/>
    <cellStyle name="Normal 5 3 2 2" xfId="304"/>
    <cellStyle name="Normal 5 3 2 2 2" xfId="935"/>
    <cellStyle name="Normal 5 3 2 3" xfId="463"/>
    <cellStyle name="Normal 5 3 2 3 2" xfId="1093"/>
    <cellStyle name="Normal 5 3 2 4" xfId="621"/>
    <cellStyle name="Normal 5 3 2 4 2" xfId="1251"/>
    <cellStyle name="Normal 5 3 2 5" xfId="779"/>
    <cellStyle name="Normal 5 3 3" xfId="226"/>
    <cellStyle name="Normal 5 3 3 2" xfId="857"/>
    <cellStyle name="Normal 5 3 4" xfId="385"/>
    <cellStyle name="Normal 5 3 4 2" xfId="1015"/>
    <cellStyle name="Normal 5 3 5" xfId="543"/>
    <cellStyle name="Normal 5 3 5 2" xfId="1173"/>
    <cellStyle name="Normal 5 3 6" xfId="701"/>
    <cellStyle name="Normal 5 4" xfId="96"/>
    <cellStyle name="Normal 5 4 2" xfId="174"/>
    <cellStyle name="Normal 5 4 2 2" xfId="330"/>
    <cellStyle name="Normal 5 4 2 2 2" xfId="961"/>
    <cellStyle name="Normal 5 4 2 3" xfId="489"/>
    <cellStyle name="Normal 5 4 2 3 2" xfId="1119"/>
    <cellStyle name="Normal 5 4 2 4" xfId="647"/>
    <cellStyle name="Normal 5 4 2 4 2" xfId="1277"/>
    <cellStyle name="Normal 5 4 2 5" xfId="805"/>
    <cellStyle name="Normal 5 4 3" xfId="252"/>
    <cellStyle name="Normal 5 4 3 2" xfId="883"/>
    <cellStyle name="Normal 5 4 4" xfId="411"/>
    <cellStyle name="Normal 5 4 4 2" xfId="1041"/>
    <cellStyle name="Normal 5 4 5" xfId="569"/>
    <cellStyle name="Normal 5 4 5 2" xfId="1199"/>
    <cellStyle name="Normal 5 4 6" xfId="727"/>
    <cellStyle name="Normal 5 5" xfId="122"/>
    <cellStyle name="Normal 5 5 2" xfId="278"/>
    <cellStyle name="Normal 5 5 2 2" xfId="909"/>
    <cellStyle name="Normal 5 5 3" xfId="437"/>
    <cellStyle name="Normal 5 5 3 2" xfId="1067"/>
    <cellStyle name="Normal 5 5 4" xfId="595"/>
    <cellStyle name="Normal 5 5 4 2" xfId="1225"/>
    <cellStyle name="Normal 5 5 5" xfId="753"/>
    <cellStyle name="Normal 5 6" xfId="200"/>
    <cellStyle name="Normal 5 6 2" xfId="831"/>
    <cellStyle name="Normal 5 7" xfId="359"/>
    <cellStyle name="Normal 5 7 2" xfId="989"/>
    <cellStyle name="Normal 5 8" xfId="517"/>
    <cellStyle name="Normal 5 8 2" xfId="1147"/>
    <cellStyle name="Normal 5 9" xfId="675"/>
    <cellStyle name="Normal 6" xfId="346"/>
    <cellStyle name="Normal 6 2" xfId="505"/>
    <cellStyle name="Normal 6 2 2" xfId="1135"/>
    <cellStyle name="Normal 6 3" xfId="663"/>
    <cellStyle name="Normal 6 3 2" xfId="1293"/>
    <cellStyle name="Normal 6 3 3" xfId="1298"/>
    <cellStyle name="Normal 6 3 4" xfId="1302"/>
    <cellStyle name="Normal 6 3 5" xfId="1306"/>
    <cellStyle name="Normal 6 4" xfId="977"/>
    <cellStyle name="Normal 7" xfId="1296"/>
    <cellStyle name="Normal 8" xfId="1300"/>
    <cellStyle name="Normal 9" xfId="1304"/>
    <cellStyle name="Porcentaje" xfId="1309" builtinId="5"/>
    <cellStyle name="Porcentual 2" xfId="7"/>
    <cellStyle name="Porcentual 2 10" xfId="670"/>
    <cellStyle name="Porcentual 2 11" xfId="21"/>
    <cellStyle name="Porcentual 2 2" xfId="14"/>
    <cellStyle name="Porcentual 2 2 2" xfId="59"/>
    <cellStyle name="Porcentual 2 3" xfId="58"/>
    <cellStyle name="Porcentual 2 4" xfId="65"/>
    <cellStyle name="Porcentual 2 4 2" xfId="143"/>
    <cellStyle name="Porcentual 2 4 2 2" xfId="299"/>
    <cellStyle name="Porcentual 2 4 2 2 2" xfId="930"/>
    <cellStyle name="Porcentual 2 4 2 3" xfId="458"/>
    <cellStyle name="Porcentual 2 4 2 3 2" xfId="1088"/>
    <cellStyle name="Porcentual 2 4 2 4" xfId="616"/>
    <cellStyle name="Porcentual 2 4 2 4 2" xfId="1246"/>
    <cellStyle name="Porcentual 2 4 2 5" xfId="774"/>
    <cellStyle name="Porcentual 2 4 3" xfId="221"/>
    <cellStyle name="Porcentual 2 4 3 2" xfId="852"/>
    <cellStyle name="Porcentual 2 4 4" xfId="380"/>
    <cellStyle name="Porcentual 2 4 4 2" xfId="1010"/>
    <cellStyle name="Porcentual 2 4 5" xfId="538"/>
    <cellStyle name="Porcentual 2 4 5 2" xfId="1168"/>
    <cellStyle name="Porcentual 2 4 6" xfId="696"/>
    <cellStyle name="Porcentual 2 5" xfId="91"/>
    <cellStyle name="Porcentual 2 5 2" xfId="169"/>
    <cellStyle name="Porcentual 2 5 2 2" xfId="325"/>
    <cellStyle name="Porcentual 2 5 2 2 2" xfId="956"/>
    <cellStyle name="Porcentual 2 5 2 3" xfId="484"/>
    <cellStyle name="Porcentual 2 5 2 3 2" xfId="1114"/>
    <cellStyle name="Porcentual 2 5 2 4" xfId="642"/>
    <cellStyle name="Porcentual 2 5 2 4 2" xfId="1272"/>
    <cellStyle name="Porcentual 2 5 2 5" xfId="800"/>
    <cellStyle name="Porcentual 2 5 3" xfId="247"/>
    <cellStyle name="Porcentual 2 5 3 2" xfId="878"/>
    <cellStyle name="Porcentual 2 5 4" xfId="406"/>
    <cellStyle name="Porcentual 2 5 4 2" xfId="1036"/>
    <cellStyle name="Porcentual 2 5 5" xfId="564"/>
    <cellStyle name="Porcentual 2 5 5 2" xfId="1194"/>
    <cellStyle name="Porcentual 2 5 6" xfId="722"/>
    <cellStyle name="Porcentual 2 6" xfId="117"/>
    <cellStyle name="Porcentual 2 6 2" xfId="273"/>
    <cellStyle name="Porcentual 2 6 2 2" xfId="904"/>
    <cellStyle name="Porcentual 2 6 3" xfId="432"/>
    <cellStyle name="Porcentual 2 6 3 2" xfId="1062"/>
    <cellStyle name="Porcentual 2 6 4" xfId="590"/>
    <cellStyle name="Porcentual 2 6 4 2" xfId="1220"/>
    <cellStyle name="Porcentual 2 6 5" xfId="748"/>
    <cellStyle name="Porcentual 2 7" xfId="195"/>
    <cellStyle name="Porcentual 2 7 2" xfId="826"/>
    <cellStyle name="Porcentual 2 8" xfId="354"/>
    <cellStyle name="Porcentual 2 8 2" xfId="984"/>
    <cellStyle name="Porcentual 2 9" xfId="512"/>
    <cellStyle name="Porcentual 2 9 2" xfId="1142"/>
    <cellStyle name="TableStyleLight1" xfId="8"/>
    <cellStyle name="TableStyleLight1 2" xfId="30"/>
    <cellStyle name="TableStyleLight1 3" xfId="1299"/>
    <cellStyle name="TableStyleLight1 4" xfId="1303"/>
    <cellStyle name="TableStyleLight1 5" xfId="130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CE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DBEEF4"/>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6E0EC"/>
      <rgbColor rgb="00D7E4BD"/>
      <rgbColor rgb="00FDEADA"/>
      <rgbColor rgb="0099CCFF"/>
      <rgbColor rgb="00FF99CC"/>
      <rgbColor rgb="00CC99FF"/>
      <rgbColor rgb="00F2DCDB"/>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22222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66675</xdr:rowOff>
    </xdr:from>
    <xdr:to>
      <xdr:col>6</xdr:col>
      <xdr:colOff>762000</xdr:colOff>
      <xdr:row>5</xdr:row>
      <xdr:rowOff>28575</xdr:rowOff>
    </xdr:to>
    <xdr:pic>
      <xdr:nvPicPr>
        <xdr:cNvPr id="6540" name="3 Imagen" descr="Escudo IDEP.png"/>
        <xdr:cNvPicPr>
          <a:picLocks noChangeAspect="1" noChangeArrowheads="1"/>
        </xdr:cNvPicPr>
      </xdr:nvPicPr>
      <xdr:blipFill>
        <a:blip xmlns:r="http://schemas.openxmlformats.org/officeDocument/2006/relationships" r:embed="rId1" cstate="print"/>
        <a:srcRect/>
        <a:stretch>
          <a:fillRect/>
        </a:stretch>
      </xdr:blipFill>
      <xdr:spPr bwMode="auto">
        <a:xfrm>
          <a:off x="2562225" y="66675"/>
          <a:ext cx="61912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104776</xdr:rowOff>
    </xdr:from>
    <xdr:to>
      <xdr:col>3</xdr:col>
      <xdr:colOff>75520</xdr:colOff>
      <xdr:row>3</xdr:row>
      <xdr:rowOff>276225</xdr:rowOff>
    </xdr:to>
    <xdr:pic>
      <xdr:nvPicPr>
        <xdr:cNvPr id="2" name="2 Imagen" descr="Logo Alta Definición.jpg"/>
        <xdr:cNvPicPr>
          <a:picLocks noChangeAspect="1"/>
        </xdr:cNvPicPr>
      </xdr:nvPicPr>
      <xdr:blipFill>
        <a:blip xmlns:r="http://schemas.openxmlformats.org/officeDocument/2006/relationships" r:embed="rId1" cstate="print"/>
        <a:stretch>
          <a:fillRect/>
        </a:stretch>
      </xdr:blipFill>
      <xdr:spPr>
        <a:xfrm>
          <a:off x="238125" y="104776"/>
          <a:ext cx="1428070" cy="6476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61850</xdr:colOff>
      <xdr:row>0</xdr:row>
      <xdr:rowOff>0</xdr:rowOff>
    </xdr:from>
    <xdr:to>
      <xdr:col>5</xdr:col>
      <xdr:colOff>623234</xdr:colOff>
      <xdr:row>6</xdr:row>
      <xdr:rowOff>36233</xdr:rowOff>
    </xdr:to>
    <xdr:pic>
      <xdr:nvPicPr>
        <xdr:cNvPr id="2" name="1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103" y="0"/>
          <a:ext cx="2491125" cy="926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20DE%20ADQUISICIONES%202018\Plan%20de%20Adquisiciones%20%202018%20INVERSION%20VERSI&#211;N%201%2017%20de%20nov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2%20de%20diciembre\PLAN%20DE%20COMPRAS%20%20BOGOTA%20HUMANA%20V%2011%2017%20de%20diciemb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DEP\ANTEPROYECTO%20DE%20PRESUPUESTO\2018\Revisi&#242;n%2020_09_2017\Proyeccio&#769;n%202018%20PROYECTO%201079%2017%20de%20agosto%20Juli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cuadro resumen"/>
      <sheetName val="Hoja2"/>
      <sheetName val="Hoja3"/>
    </sheetNames>
    <sheetDataSet>
      <sheetData sheetId="0" refreshError="1"/>
      <sheetData sheetId="1">
        <row r="2">
          <cell r="C2" t="str">
            <v xml:space="preserve">SEGUIMIENTO PRESUPUESTO DE INVERSIÓN  A 15 NOVIEMBRE 2013 </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DESAGREGACIÓN RECURSOS "/>
      <sheetName val="RESULTADOS"/>
    </sheetNames>
    <sheetDataSet>
      <sheetData sheetId="0" refreshError="1">
        <row r="22">
          <cell r="N22">
            <v>-319000000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279"/>
  <sheetViews>
    <sheetView topLeftCell="C16" zoomScale="80" zoomScaleNormal="80" zoomScaleSheetLayoutView="130" workbookViewId="0">
      <pane xSplit="9" ySplit="2" topLeftCell="AB87" activePane="bottomRight" state="frozen"/>
      <selection activeCell="C16" sqref="C16"/>
      <selection pane="topRight" activeCell="L16" sqref="L16"/>
      <selection pane="bottomLeft" activeCell="C18" sqref="C18"/>
      <selection pane="bottomRight" activeCell="J116" sqref="J116"/>
    </sheetView>
  </sheetViews>
  <sheetFormatPr baseColWidth="10" defaultRowHeight="12.75" x14ac:dyDescent="0.25"/>
  <cols>
    <col min="1" max="1" width="4.28515625" style="1" customWidth="1"/>
    <col min="2" max="2" width="5.28515625" style="1" customWidth="1"/>
    <col min="3" max="3" width="5.7109375" style="1" customWidth="1"/>
    <col min="4" max="4" width="7.5703125" style="1" customWidth="1"/>
    <col min="5" max="5" width="7" style="1" customWidth="1"/>
    <col min="6" max="6" width="6.42578125" style="1" customWidth="1"/>
    <col min="7" max="7" width="18.5703125" style="1" customWidth="1"/>
    <col min="8" max="8" width="13.140625" style="1" customWidth="1"/>
    <col min="9" max="9" width="0.140625" style="1" customWidth="1"/>
    <col min="10" max="10" width="6.5703125" style="1" customWidth="1"/>
    <col min="11" max="11" width="62.140625" style="1" customWidth="1"/>
    <col min="12" max="12" width="7.85546875" style="4" customWidth="1"/>
    <col min="13" max="13" width="6.140625" style="4" customWidth="1"/>
    <col min="14" max="14" width="8" style="4" customWidth="1"/>
    <col min="15" max="15" width="16.42578125" style="1" customWidth="1"/>
    <col min="16" max="16" width="16.5703125" style="1" hidden="1" customWidth="1"/>
    <col min="17" max="17" width="18.5703125" style="1" hidden="1" customWidth="1"/>
    <col min="18" max="18" width="14.5703125" style="1" customWidth="1"/>
    <col min="19" max="19" width="11" style="1" hidden="1" customWidth="1"/>
    <col min="20" max="20" width="17.5703125" style="1" hidden="1" customWidth="1"/>
    <col min="21" max="21" width="0.28515625" style="1" hidden="1" customWidth="1"/>
    <col min="22" max="22" width="18.7109375" style="1" hidden="1" customWidth="1"/>
    <col min="23" max="24" width="16.42578125" style="1" customWidth="1"/>
    <col min="25" max="25" width="14.7109375" style="1" customWidth="1"/>
    <col min="26" max="26" width="16.7109375" style="1" customWidth="1"/>
    <col min="27" max="27" width="18.28515625" style="1" customWidth="1"/>
    <col min="28" max="28" width="5.7109375" style="1" customWidth="1"/>
    <col min="29" max="29" width="30.5703125" style="1" customWidth="1"/>
    <col min="30" max="30" width="14.140625" style="1" customWidth="1"/>
    <col min="31" max="31" width="25.28515625" style="1" hidden="1" customWidth="1"/>
    <col min="32" max="32" width="17.42578125" style="1" hidden="1" customWidth="1"/>
    <col min="33" max="33" width="17.140625" style="1" hidden="1" customWidth="1"/>
    <col min="34" max="34" width="17.28515625" style="3" customWidth="1"/>
    <col min="35" max="35" width="16.5703125" style="2" bestFit="1" customWidth="1"/>
    <col min="36" max="36" width="20.140625" style="1" customWidth="1"/>
    <col min="37" max="37" width="14.28515625" style="1" bestFit="1" customWidth="1"/>
    <col min="38" max="38" width="18.85546875" style="1" bestFit="1" customWidth="1"/>
    <col min="39" max="39" width="17.42578125" style="1" bestFit="1" customWidth="1"/>
    <col min="40" max="40" width="14.28515625" style="1" bestFit="1" customWidth="1"/>
    <col min="41" max="41" width="18.85546875" style="1" bestFit="1" customWidth="1"/>
    <col min="42" max="42" width="15.42578125" style="1" bestFit="1" customWidth="1"/>
    <col min="43" max="16384" width="11.42578125" style="1"/>
  </cols>
  <sheetData>
    <row r="1" spans="2:35" ht="16.5" customHeight="1" x14ac:dyDescent="0.25"/>
    <row r="2" spans="2:35" ht="14.25" customHeight="1" x14ac:dyDescent="0.25">
      <c r="H2" s="1062" t="s">
        <v>500</v>
      </c>
      <c r="I2" s="1062"/>
      <c r="J2" s="1062"/>
      <c r="K2" s="1062"/>
      <c r="L2" s="1062"/>
      <c r="M2" s="1062"/>
      <c r="N2" s="1062"/>
      <c r="O2" s="1062"/>
      <c r="P2" s="1062"/>
      <c r="Q2" s="1062"/>
      <c r="R2" s="1062"/>
      <c r="S2" s="1062"/>
      <c r="T2" s="539"/>
      <c r="U2" s="1061" t="s">
        <v>499</v>
      </c>
      <c r="V2" s="1061"/>
      <c r="W2" s="1061"/>
    </row>
    <row r="3" spans="2:35" ht="19.5" customHeight="1" x14ac:dyDescent="0.25">
      <c r="H3" s="1062"/>
      <c r="I3" s="1062"/>
      <c r="J3" s="1062"/>
      <c r="K3" s="1062"/>
      <c r="L3" s="1062"/>
      <c r="M3" s="1062"/>
      <c r="N3" s="1062"/>
      <c r="O3" s="1062"/>
      <c r="P3" s="1062"/>
      <c r="Q3" s="1062"/>
      <c r="R3" s="1062"/>
      <c r="S3" s="1062"/>
      <c r="T3" s="539"/>
      <c r="U3" s="1061" t="s">
        <v>498</v>
      </c>
      <c r="V3" s="1061"/>
      <c r="W3" s="1061"/>
      <c r="Y3" s="13"/>
    </row>
    <row r="4" spans="2:35" ht="5.25" customHeight="1" x14ac:dyDescent="0.25">
      <c r="H4" s="1062"/>
      <c r="I4" s="1062"/>
      <c r="J4" s="1062"/>
      <c r="K4" s="1062"/>
      <c r="L4" s="1062"/>
      <c r="M4" s="1062"/>
      <c r="N4" s="1062"/>
      <c r="O4" s="1062"/>
      <c r="P4" s="1062"/>
      <c r="Q4" s="1062"/>
      <c r="R4" s="1062"/>
      <c r="S4" s="1062"/>
      <c r="T4" s="539"/>
      <c r="U4" s="530" t="s">
        <v>497</v>
      </c>
      <c r="V4" s="530"/>
      <c r="W4" s="530"/>
      <c r="Y4" s="13"/>
    </row>
    <row r="5" spans="2:35" ht="16.5" customHeight="1" x14ac:dyDescent="0.25">
      <c r="H5" s="1062"/>
      <c r="I5" s="1062"/>
      <c r="J5" s="1062"/>
      <c r="K5" s="1062"/>
      <c r="L5" s="1062"/>
      <c r="M5" s="1062"/>
      <c r="N5" s="1062"/>
      <c r="O5" s="1062"/>
      <c r="P5" s="1062"/>
      <c r="Q5" s="1062"/>
      <c r="R5" s="1062"/>
      <c r="S5" s="1062"/>
      <c r="T5" s="539"/>
      <c r="U5" s="530"/>
      <c r="V5" s="530"/>
      <c r="W5" s="530"/>
      <c r="Y5" s="13"/>
    </row>
    <row r="6" spans="2:35" ht="12" customHeight="1" x14ac:dyDescent="0.25">
      <c r="O6" s="531"/>
      <c r="P6" s="531"/>
      <c r="Q6" s="531"/>
      <c r="R6" s="531"/>
      <c r="S6" s="531"/>
      <c r="T6" s="531"/>
      <c r="U6" s="530"/>
      <c r="V6" s="530"/>
      <c r="W6" s="530"/>
      <c r="Y6" s="13"/>
    </row>
    <row r="7" spans="2:35" ht="12" customHeight="1" x14ac:dyDescent="0.25">
      <c r="D7" s="21" t="s">
        <v>0</v>
      </c>
      <c r="E7" s="4"/>
      <c r="F7" s="4"/>
      <c r="G7" s="4"/>
      <c r="H7" s="4"/>
      <c r="I7" s="4"/>
      <c r="J7" s="538"/>
      <c r="K7" s="538"/>
      <c r="L7" s="538"/>
      <c r="M7" s="538"/>
      <c r="N7" s="538"/>
      <c r="O7" s="531"/>
      <c r="P7" s="531"/>
      <c r="Q7" s="531"/>
      <c r="R7" s="531"/>
      <c r="S7" s="531"/>
      <c r="T7" s="531"/>
      <c r="U7" s="530"/>
      <c r="V7" s="530"/>
      <c r="W7" s="530"/>
      <c r="Y7" s="13"/>
    </row>
    <row r="8" spans="2:35" ht="15" customHeight="1" x14ac:dyDescent="0.25">
      <c r="D8" s="535" t="s">
        <v>496</v>
      </c>
      <c r="E8" s="535"/>
      <c r="F8" s="535"/>
      <c r="G8" s="535"/>
      <c r="H8" s="535"/>
      <c r="I8" s="535"/>
      <c r="J8" s="534"/>
      <c r="K8" s="534"/>
      <c r="L8" s="534"/>
      <c r="M8" s="533"/>
      <c r="N8" s="532"/>
      <c r="O8" s="531"/>
      <c r="P8" s="531"/>
      <c r="Q8" s="531"/>
      <c r="R8" s="531"/>
      <c r="S8" s="531"/>
      <c r="T8" s="531"/>
      <c r="U8" s="530"/>
      <c r="V8" s="530"/>
      <c r="W8" s="530"/>
      <c r="Y8" s="13"/>
    </row>
    <row r="9" spans="2:35" ht="16.5" customHeight="1" x14ac:dyDescent="0.25">
      <c r="D9" s="535" t="s">
        <v>495</v>
      </c>
      <c r="E9" s="535"/>
      <c r="F9" s="536"/>
      <c r="G9" s="536"/>
      <c r="H9" s="536"/>
      <c r="I9" s="536"/>
      <c r="J9" s="537"/>
      <c r="K9" s="532"/>
      <c r="L9" s="532"/>
      <c r="M9" s="532"/>
      <c r="N9" s="532"/>
      <c r="O9" s="531"/>
      <c r="P9" s="531"/>
      <c r="Q9" s="531"/>
      <c r="R9" s="531"/>
      <c r="S9" s="531"/>
      <c r="T9" s="531"/>
      <c r="U9" s="530"/>
      <c r="V9" s="530"/>
      <c r="W9" s="530"/>
      <c r="Y9" s="13"/>
    </row>
    <row r="10" spans="2:35" ht="19.5" customHeight="1" x14ac:dyDescent="0.25">
      <c r="D10" s="535" t="s">
        <v>494</v>
      </c>
      <c r="E10" s="535"/>
      <c r="F10" s="536"/>
      <c r="G10" s="536"/>
      <c r="H10" s="536"/>
      <c r="I10" s="536"/>
      <c r="J10" s="532"/>
      <c r="K10" s="532"/>
      <c r="L10" s="532"/>
      <c r="M10" s="532"/>
      <c r="N10" s="532"/>
      <c r="O10" s="531"/>
      <c r="P10" s="531"/>
      <c r="Q10" s="531"/>
      <c r="R10" s="531"/>
      <c r="S10" s="531"/>
      <c r="T10" s="531"/>
      <c r="U10" s="530"/>
      <c r="V10" s="530"/>
      <c r="W10" s="530"/>
      <c r="Y10" s="13"/>
    </row>
    <row r="11" spans="2:35" ht="19.5" customHeight="1" x14ac:dyDescent="0.25">
      <c r="D11" s="1063" t="s">
        <v>493</v>
      </c>
      <c r="E11" s="1063"/>
      <c r="F11" s="1063"/>
      <c r="G11" s="1063"/>
      <c r="H11" s="1063"/>
      <c r="I11" s="1063"/>
      <c r="J11" s="1063"/>
      <c r="K11" s="1063"/>
      <c r="L11" s="1063"/>
      <c r="M11" s="1063"/>
      <c r="N11" s="1063"/>
      <c r="O11" s="531"/>
      <c r="P11" s="531"/>
      <c r="Q11" s="531"/>
      <c r="R11" s="531"/>
      <c r="S11" s="531"/>
      <c r="T11" s="531"/>
      <c r="U11" s="530"/>
      <c r="V11" s="530"/>
      <c r="W11" s="530"/>
      <c r="Y11" s="13"/>
    </row>
    <row r="12" spans="2:35" ht="21.75" customHeight="1" x14ac:dyDescent="0.25">
      <c r="D12" s="535" t="s">
        <v>492</v>
      </c>
      <c r="E12" s="535"/>
      <c r="F12" s="535"/>
      <c r="G12" s="535"/>
      <c r="H12" s="535"/>
      <c r="I12" s="535"/>
      <c r="J12" s="534"/>
      <c r="K12" s="534"/>
      <c r="L12" s="534"/>
      <c r="M12" s="533"/>
      <c r="N12" s="532"/>
      <c r="O12" s="531"/>
      <c r="P12" s="531"/>
      <c r="Q12" s="531"/>
      <c r="R12" s="531"/>
      <c r="S12" s="531"/>
      <c r="T12" s="531"/>
      <c r="U12" s="530"/>
      <c r="V12" s="530"/>
      <c r="W12" s="530"/>
      <c r="Y12" s="13"/>
    </row>
    <row r="13" spans="2:35" ht="15" customHeight="1" x14ac:dyDescent="0.25">
      <c r="D13" s="535" t="s">
        <v>491</v>
      </c>
      <c r="E13" s="535"/>
      <c r="F13" s="535"/>
      <c r="G13" s="535"/>
      <c r="H13" s="535"/>
      <c r="I13" s="535"/>
      <c r="J13" s="534"/>
      <c r="K13" s="534"/>
      <c r="L13" s="534"/>
      <c r="M13" s="533"/>
      <c r="N13" s="532"/>
      <c r="O13" s="531"/>
      <c r="P13" s="531"/>
      <c r="Q13" s="531"/>
      <c r="R13" s="531"/>
      <c r="S13" s="531"/>
      <c r="T13" s="531"/>
      <c r="U13" s="530"/>
      <c r="V13" s="530"/>
      <c r="W13" s="530"/>
      <c r="Y13" s="13"/>
      <c r="AA13" s="11"/>
    </row>
    <row r="14" spans="2:35" ht="2.25" hidden="1" customHeight="1" x14ac:dyDescent="0.25">
      <c r="D14" s="535" t="s">
        <v>490</v>
      </c>
      <c r="E14" s="535"/>
      <c r="F14" s="535"/>
      <c r="G14" s="535"/>
      <c r="H14" s="535"/>
      <c r="I14" s="535"/>
      <c r="J14" s="534"/>
      <c r="K14" s="534"/>
      <c r="L14" s="534"/>
      <c r="M14" s="533"/>
      <c r="N14" s="532"/>
      <c r="O14" s="531"/>
      <c r="P14" s="531"/>
      <c r="Q14" s="531"/>
      <c r="R14" s="531"/>
      <c r="S14" s="531"/>
      <c r="T14" s="531"/>
      <c r="U14" s="530"/>
      <c r="V14" s="530"/>
      <c r="W14" s="530"/>
      <c r="Y14" s="13"/>
    </row>
    <row r="15" spans="2:35" s="13" customFormat="1" ht="46.5" customHeight="1" x14ac:dyDescent="0.25">
      <c r="C15" s="529"/>
      <c r="D15" s="1063" t="s">
        <v>489</v>
      </c>
      <c r="E15" s="1063"/>
      <c r="F15" s="1063"/>
      <c r="G15" s="1063"/>
      <c r="H15" s="1063"/>
      <c r="I15" s="1063"/>
      <c r="J15" s="1063"/>
      <c r="K15" s="1063"/>
      <c r="L15" s="1063"/>
      <c r="M15" s="1063"/>
      <c r="N15" s="1063"/>
      <c r="O15" s="528"/>
      <c r="P15" s="527"/>
      <c r="Q15" s="527"/>
      <c r="R15" s="527"/>
      <c r="S15" s="527"/>
      <c r="T15" s="527"/>
      <c r="U15" s="527"/>
      <c r="V15" s="527"/>
      <c r="W15" s="527"/>
      <c r="X15" s="1045" t="str">
        <f>+'[2]cuadro resumen'!C2</f>
        <v xml:space="preserve">SEGUIMIENTO PRESUPUESTO DE INVERSIÓN  A 15 NOVIEMBRE 2013 </v>
      </c>
      <c r="Y15" s="1045"/>
      <c r="AH15" s="3"/>
      <c r="AI15" s="2"/>
    </row>
    <row r="16" spans="2:35" s="13" customFormat="1" ht="42" customHeight="1" x14ac:dyDescent="0.25">
      <c r="B16" s="1056" t="s">
        <v>1</v>
      </c>
      <c r="C16" s="1032" t="s">
        <v>2</v>
      </c>
      <c r="D16" s="1034" t="s">
        <v>488</v>
      </c>
      <c r="E16" s="1066" t="s">
        <v>487</v>
      </c>
      <c r="F16" s="1066" t="s">
        <v>486</v>
      </c>
      <c r="G16" s="1039" t="s">
        <v>3</v>
      </c>
      <c r="H16" s="1039" t="s">
        <v>485</v>
      </c>
      <c r="I16" s="1051" t="s">
        <v>484</v>
      </c>
      <c r="J16" s="1051" t="s">
        <v>16</v>
      </c>
      <c r="K16" s="1051" t="s">
        <v>17</v>
      </c>
      <c r="L16" s="1070" t="s">
        <v>483</v>
      </c>
      <c r="M16" s="1071"/>
      <c r="N16" s="1072"/>
      <c r="O16" s="1146" t="s">
        <v>5</v>
      </c>
      <c r="P16" s="1147"/>
      <c r="Q16" s="1148"/>
      <c r="R16" s="1143" t="s">
        <v>6</v>
      </c>
      <c r="S16" s="1144"/>
      <c r="T16" s="1144"/>
      <c r="U16" s="1144"/>
      <c r="V16" s="1145"/>
      <c r="W16" s="1141" t="s">
        <v>7</v>
      </c>
      <c r="X16" s="521" t="s">
        <v>482</v>
      </c>
      <c r="Y16" s="520" t="s">
        <v>481</v>
      </c>
      <c r="Z16" s="1139" t="s">
        <v>7</v>
      </c>
      <c r="AA16" s="1139" t="s">
        <v>480</v>
      </c>
      <c r="AB16" s="1137" t="s">
        <v>479</v>
      </c>
      <c r="AC16" s="1137" t="s">
        <v>478</v>
      </c>
      <c r="AD16" s="1135" t="s">
        <v>477</v>
      </c>
      <c r="AE16" s="1132" t="s">
        <v>476</v>
      </c>
      <c r="AF16" s="1128" t="s">
        <v>475</v>
      </c>
      <c r="AG16" s="1130" t="s">
        <v>474</v>
      </c>
      <c r="AH16" s="1007" t="s">
        <v>473</v>
      </c>
      <c r="AI16" s="1008" t="s">
        <v>472</v>
      </c>
    </row>
    <row r="17" spans="2:35" ht="50.25" customHeight="1" x14ac:dyDescent="0.25">
      <c r="B17" s="1056"/>
      <c r="C17" s="1033"/>
      <c r="D17" s="1035"/>
      <c r="E17" s="1067"/>
      <c r="F17" s="1066"/>
      <c r="G17" s="1039"/>
      <c r="H17" s="1039"/>
      <c r="I17" s="1052"/>
      <c r="J17" s="1052"/>
      <c r="K17" s="1052"/>
      <c r="L17" s="526" t="s">
        <v>471</v>
      </c>
      <c r="M17" s="526" t="s">
        <v>470</v>
      </c>
      <c r="N17" s="526" t="s">
        <v>469</v>
      </c>
      <c r="O17" s="525" t="s">
        <v>465</v>
      </c>
      <c r="P17" s="523" t="s">
        <v>466</v>
      </c>
      <c r="Q17" s="523" t="s">
        <v>8</v>
      </c>
      <c r="R17" s="523" t="s">
        <v>468</v>
      </c>
      <c r="S17" s="524" t="s">
        <v>467</v>
      </c>
      <c r="T17" s="524"/>
      <c r="U17" s="523" t="s">
        <v>466</v>
      </c>
      <c r="V17" s="522" t="s">
        <v>8</v>
      </c>
      <c r="W17" s="1142"/>
      <c r="X17" s="521" t="s">
        <v>465</v>
      </c>
      <c r="Y17" s="520" t="s">
        <v>9</v>
      </c>
      <c r="Z17" s="1140"/>
      <c r="AA17" s="1140"/>
      <c r="AB17" s="1138"/>
      <c r="AC17" s="1138"/>
      <c r="AD17" s="1136"/>
      <c r="AE17" s="1133"/>
      <c r="AF17" s="1129"/>
      <c r="AG17" s="1131"/>
      <c r="AH17" s="1007"/>
      <c r="AI17" s="1008"/>
    </row>
    <row r="18" spans="2:35" ht="38.25" x14ac:dyDescent="0.25">
      <c r="B18" s="1041" t="s">
        <v>464</v>
      </c>
      <c r="C18" s="1053" t="s">
        <v>463</v>
      </c>
      <c r="D18" s="1012" t="s">
        <v>462</v>
      </c>
      <c r="E18" s="1012" t="s">
        <v>461</v>
      </c>
      <c r="F18" s="1012" t="s">
        <v>460</v>
      </c>
      <c r="G18" s="1020" t="s">
        <v>459</v>
      </c>
      <c r="H18" s="1087" t="s">
        <v>458</v>
      </c>
      <c r="I18" s="175"/>
      <c r="J18" s="175"/>
      <c r="K18" s="246" t="s">
        <v>457</v>
      </c>
      <c r="L18" s="212" t="s">
        <v>27</v>
      </c>
      <c r="M18" s="212">
        <v>7</v>
      </c>
      <c r="N18" s="509" t="s">
        <v>56</v>
      </c>
      <c r="O18" s="516">
        <f>49518000-49518000</f>
        <v>0</v>
      </c>
      <c r="P18" s="515"/>
      <c r="Q18" s="515">
        <f>+O18+P18</f>
        <v>0</v>
      </c>
      <c r="R18" s="471"/>
      <c r="S18" s="471"/>
      <c r="T18" s="471"/>
      <c r="U18" s="471"/>
      <c r="V18" s="508"/>
      <c r="W18" s="507">
        <f>+Q18+V18</f>
        <v>0</v>
      </c>
      <c r="X18" s="518"/>
      <c r="Y18" s="50"/>
      <c r="Z18" s="50"/>
      <c r="AA18" s="50"/>
      <c r="AB18" s="50"/>
      <c r="AC18" s="50"/>
      <c r="AD18" s="103"/>
      <c r="AF18" s="50"/>
      <c r="AG18" s="49"/>
      <c r="AH18" s="3">
        <v>0.03</v>
      </c>
    </row>
    <row r="19" spans="2:35" ht="25.5" x14ac:dyDescent="0.25">
      <c r="B19" s="1042"/>
      <c r="C19" s="1054"/>
      <c r="D19" s="1013"/>
      <c r="E19" s="1013"/>
      <c r="F19" s="1013"/>
      <c r="G19" s="1021"/>
      <c r="H19" s="1134"/>
      <c r="I19" s="519"/>
      <c r="J19" s="97"/>
      <c r="K19" s="246" t="s">
        <v>456</v>
      </c>
      <c r="L19" s="212" t="s">
        <v>27</v>
      </c>
      <c r="M19" s="212">
        <v>7</v>
      </c>
      <c r="N19" s="509" t="s">
        <v>56</v>
      </c>
      <c r="O19" s="516">
        <f>33012000-33012000</f>
        <v>0</v>
      </c>
      <c r="P19" s="515"/>
      <c r="Q19" s="515">
        <f>+O19+P19</f>
        <v>0</v>
      </c>
      <c r="R19" s="471"/>
      <c r="S19" s="471"/>
      <c r="T19" s="471"/>
      <c r="U19" s="471"/>
      <c r="V19" s="508"/>
      <c r="W19" s="507">
        <f>+Q19+V19</f>
        <v>0</v>
      </c>
      <c r="X19" s="518"/>
      <c r="Y19" s="50"/>
      <c r="Z19" s="50"/>
      <c r="AA19" s="50"/>
      <c r="AB19" s="50"/>
      <c r="AC19" s="50"/>
      <c r="AD19" s="103"/>
      <c r="AF19" s="50"/>
      <c r="AG19" s="49"/>
    </row>
    <row r="20" spans="2:35" ht="25.5" x14ac:dyDescent="0.25">
      <c r="B20" s="1042"/>
      <c r="C20" s="1054"/>
      <c r="D20" s="1013"/>
      <c r="E20" s="1013"/>
      <c r="F20" s="1013"/>
      <c r="G20" s="1021"/>
      <c r="H20" s="1134"/>
      <c r="I20" s="519"/>
      <c r="J20" s="97"/>
      <c r="K20" s="246" t="s">
        <v>455</v>
      </c>
      <c r="L20" s="212" t="s">
        <v>27</v>
      </c>
      <c r="M20" s="212">
        <v>7</v>
      </c>
      <c r="N20" s="509" t="s">
        <v>56</v>
      </c>
      <c r="O20" s="516">
        <f>24759000-24759000</f>
        <v>0</v>
      </c>
      <c r="P20" s="515"/>
      <c r="Q20" s="515">
        <f>+O20+P20</f>
        <v>0</v>
      </c>
      <c r="R20" s="471"/>
      <c r="S20" s="471"/>
      <c r="T20" s="471"/>
      <c r="U20" s="471"/>
      <c r="V20" s="508"/>
      <c r="W20" s="507">
        <f>+Q20+V20</f>
        <v>0</v>
      </c>
      <c r="X20" s="518"/>
      <c r="Y20" s="50"/>
      <c r="Z20" s="50"/>
      <c r="AA20" s="50"/>
      <c r="AB20" s="50"/>
      <c r="AC20" s="50"/>
      <c r="AD20" s="103"/>
      <c r="AF20" s="50"/>
      <c r="AG20" s="49"/>
    </row>
    <row r="21" spans="2:35" ht="25.5" x14ac:dyDescent="0.25">
      <c r="B21" s="1042"/>
      <c r="C21" s="1054"/>
      <c r="D21" s="1013"/>
      <c r="E21" s="1013"/>
      <c r="F21" s="1013"/>
      <c r="G21" s="1021"/>
      <c r="H21" s="1134"/>
      <c r="I21" s="519"/>
      <c r="J21" s="97"/>
      <c r="K21" s="246" t="s">
        <v>179</v>
      </c>
      <c r="L21" s="212" t="s">
        <v>27</v>
      </c>
      <c r="M21" s="212">
        <v>7</v>
      </c>
      <c r="N21" s="509" t="s">
        <v>56</v>
      </c>
      <c r="O21" s="516">
        <f>2535500-2535500</f>
        <v>0</v>
      </c>
      <c r="P21" s="515"/>
      <c r="Q21" s="515">
        <f>+O21+P21</f>
        <v>0</v>
      </c>
      <c r="R21" s="471"/>
      <c r="S21" s="471"/>
      <c r="T21" s="471"/>
      <c r="U21" s="471"/>
      <c r="V21" s="508"/>
      <c r="W21" s="507">
        <f>+Q21+V21</f>
        <v>0</v>
      </c>
      <c r="X21" s="518"/>
      <c r="Y21" s="50"/>
      <c r="Z21" s="50"/>
      <c r="AA21" s="50"/>
      <c r="AB21" s="50"/>
      <c r="AC21" s="50"/>
      <c r="AD21" s="103"/>
      <c r="AF21" s="291"/>
      <c r="AG21" s="49"/>
    </row>
    <row r="22" spans="2:35" ht="42.75" customHeight="1" x14ac:dyDescent="0.25">
      <c r="B22" s="1042"/>
      <c r="C22" s="1054"/>
      <c r="D22" s="1013"/>
      <c r="E22" s="1013"/>
      <c r="F22" s="1013"/>
      <c r="G22" s="1022"/>
      <c r="H22" s="1088"/>
      <c r="I22" s="517" t="s">
        <v>29</v>
      </c>
      <c r="J22" s="517">
        <v>314</v>
      </c>
      <c r="K22" s="246" t="s">
        <v>454</v>
      </c>
      <c r="L22" s="212" t="s">
        <v>40</v>
      </c>
      <c r="M22" s="212">
        <v>8</v>
      </c>
      <c r="N22" s="509" t="s">
        <v>56</v>
      </c>
      <c r="O22" s="516">
        <v>109824500</v>
      </c>
      <c r="P22" s="515"/>
      <c r="Q22" s="515"/>
      <c r="R22" s="471"/>
      <c r="S22" s="471"/>
      <c r="T22" s="471"/>
      <c r="U22" s="471"/>
      <c r="V22" s="508"/>
      <c r="W22" s="507">
        <f>+O22+R22</f>
        <v>109824500</v>
      </c>
      <c r="X22" s="514">
        <v>109824500</v>
      </c>
      <c r="Y22" s="50"/>
      <c r="Z22" s="88">
        <f t="shared" ref="Z22:Z85" si="0">+X22+Y22</f>
        <v>109824500</v>
      </c>
      <c r="AA22" s="87">
        <v>41554</v>
      </c>
      <c r="AB22" s="50">
        <v>116</v>
      </c>
      <c r="AC22" s="50" t="s">
        <v>167</v>
      </c>
      <c r="AD22" s="103"/>
      <c r="AE22" s="50"/>
      <c r="AF22" s="291"/>
      <c r="AG22" s="49"/>
      <c r="AH22" s="3">
        <f>+AI22/Z22</f>
        <v>0</v>
      </c>
      <c r="AI22" s="2">
        <v>0</v>
      </c>
    </row>
    <row r="23" spans="2:35" ht="22.5" customHeight="1" x14ac:dyDescent="0.25">
      <c r="B23" s="1042"/>
      <c r="C23" s="1054"/>
      <c r="D23" s="1013"/>
      <c r="E23" s="1013"/>
      <c r="F23" s="1013"/>
      <c r="G23" s="1019" t="s">
        <v>24</v>
      </c>
      <c r="H23" s="1019"/>
      <c r="I23" s="1019"/>
      <c r="J23" s="1019"/>
      <c r="K23" s="1019"/>
      <c r="L23" s="1019"/>
      <c r="M23" s="1019"/>
      <c r="N23" s="1019"/>
      <c r="O23" s="144">
        <f t="shared" ref="O23:W23" si="1">SUM(O18:O22)</f>
        <v>109824500</v>
      </c>
      <c r="P23" s="144">
        <f t="shared" si="1"/>
        <v>0</v>
      </c>
      <c r="Q23" s="144">
        <f t="shared" si="1"/>
        <v>0</v>
      </c>
      <c r="R23" s="144">
        <f t="shared" si="1"/>
        <v>0</v>
      </c>
      <c r="S23" s="144">
        <f t="shared" si="1"/>
        <v>0</v>
      </c>
      <c r="T23" s="144">
        <f t="shared" si="1"/>
        <v>0</v>
      </c>
      <c r="U23" s="144">
        <f t="shared" si="1"/>
        <v>0</v>
      </c>
      <c r="V23" s="144">
        <f t="shared" si="1"/>
        <v>0</v>
      </c>
      <c r="W23" s="144">
        <f t="shared" si="1"/>
        <v>109824500</v>
      </c>
      <c r="X23" s="144">
        <f>+X22</f>
        <v>109824500</v>
      </c>
      <c r="Y23" s="144">
        <f>+Y22</f>
        <v>0</v>
      </c>
      <c r="Z23" s="88">
        <f t="shared" si="0"/>
        <v>109824500</v>
      </c>
      <c r="AA23" s="144"/>
      <c r="AB23" s="78"/>
      <c r="AC23" s="78"/>
      <c r="AD23" s="79">
        <f>+Z23/W23</f>
        <v>1</v>
      </c>
      <c r="AE23" s="78"/>
      <c r="AF23" s="79"/>
      <c r="AG23" s="226"/>
    </row>
    <row r="24" spans="2:35" ht="44.25" customHeight="1" x14ac:dyDescent="0.25">
      <c r="B24" s="1042"/>
      <c r="C24" s="1054"/>
      <c r="D24" s="1013"/>
      <c r="E24" s="1013"/>
      <c r="F24" s="1013"/>
      <c r="G24" s="470" t="s">
        <v>453</v>
      </c>
      <c r="H24" s="513" t="s">
        <v>444</v>
      </c>
      <c r="I24" s="512" t="s">
        <v>29</v>
      </c>
      <c r="J24" s="511">
        <v>185</v>
      </c>
      <c r="K24" s="345" t="s">
        <v>452</v>
      </c>
      <c r="L24" s="510" t="s">
        <v>36</v>
      </c>
      <c r="M24" s="212">
        <v>8</v>
      </c>
      <c r="N24" s="212" t="s">
        <v>56</v>
      </c>
      <c r="O24" s="281">
        <v>100000000</v>
      </c>
      <c r="P24" s="471"/>
      <c r="Q24" s="471">
        <f>+O24+P24</f>
        <v>100000000</v>
      </c>
      <c r="R24" s="471"/>
      <c r="S24" s="471"/>
      <c r="T24" s="471"/>
      <c r="U24" s="131"/>
      <c r="V24" s="92"/>
      <c r="W24" s="93">
        <f>+Q24+V24</f>
        <v>100000000</v>
      </c>
      <c r="X24" s="137">
        <v>100000000</v>
      </c>
      <c r="Y24" s="136"/>
      <c r="Z24" s="88">
        <f t="shared" si="0"/>
        <v>100000000</v>
      </c>
      <c r="AA24" s="87">
        <v>41427</v>
      </c>
      <c r="AB24" s="50">
        <v>63</v>
      </c>
      <c r="AC24" s="86" t="s">
        <v>451</v>
      </c>
      <c r="AD24" s="431"/>
      <c r="AE24" s="136"/>
      <c r="AF24" s="50"/>
      <c r="AG24" s="49"/>
      <c r="AH24" s="3">
        <f>+AI24/Z24</f>
        <v>0.3</v>
      </c>
      <c r="AI24" s="2">
        <v>30000000</v>
      </c>
    </row>
    <row r="25" spans="2:35" ht="17.25" customHeight="1" x14ac:dyDescent="0.25">
      <c r="B25" s="1042"/>
      <c r="C25" s="1054"/>
      <c r="D25" s="1013"/>
      <c r="E25" s="1013"/>
      <c r="F25" s="1013"/>
      <c r="G25" s="1019" t="s">
        <v>24</v>
      </c>
      <c r="H25" s="1019"/>
      <c r="I25" s="1019"/>
      <c r="J25" s="1019"/>
      <c r="K25" s="1019"/>
      <c r="L25" s="1019"/>
      <c r="M25" s="1019"/>
      <c r="N25" s="1019"/>
      <c r="O25" s="144">
        <f>+O24</f>
        <v>100000000</v>
      </c>
      <c r="P25" s="144">
        <f>+P24</f>
        <v>0</v>
      </c>
      <c r="Q25" s="144">
        <f>+Q24</f>
        <v>100000000</v>
      </c>
      <c r="R25" s="144">
        <f>+R24</f>
        <v>0</v>
      </c>
      <c r="S25" s="144" t="e">
        <f>SUM(#REF!)</f>
        <v>#REF!</v>
      </c>
      <c r="T25" s="144"/>
      <c r="U25" s="144" t="e">
        <f>SUM(#REF!)</f>
        <v>#REF!</v>
      </c>
      <c r="V25" s="145" t="e">
        <f>SUM(#REF!)</f>
        <v>#REF!</v>
      </c>
      <c r="W25" s="82">
        <f>+W24</f>
        <v>100000000</v>
      </c>
      <c r="X25" s="144">
        <f>+X24</f>
        <v>100000000</v>
      </c>
      <c r="Y25" s="144">
        <f>+Y24</f>
        <v>0</v>
      </c>
      <c r="Z25" s="88">
        <f t="shared" si="0"/>
        <v>100000000</v>
      </c>
      <c r="AA25" s="144"/>
      <c r="AB25" s="144"/>
      <c r="AC25" s="144"/>
      <c r="AD25" s="79">
        <f>+Z25/W25</f>
        <v>1</v>
      </c>
      <c r="AE25" s="144"/>
      <c r="AF25" s="79"/>
      <c r="AG25" s="145"/>
    </row>
    <row r="26" spans="2:35" ht="42.75" customHeight="1" x14ac:dyDescent="0.25">
      <c r="B26" s="1042"/>
      <c r="C26" s="1054"/>
      <c r="D26" s="1013"/>
      <c r="E26" s="1013"/>
      <c r="F26" s="1013"/>
      <c r="G26" s="1020" t="s">
        <v>450</v>
      </c>
      <c r="H26" s="1149" t="s">
        <v>444</v>
      </c>
      <c r="I26" s="509" t="s">
        <v>29</v>
      </c>
      <c r="J26" s="509">
        <v>186</v>
      </c>
      <c r="K26" s="246" t="s">
        <v>449</v>
      </c>
      <c r="L26" s="505" t="s">
        <v>122</v>
      </c>
      <c r="M26" s="212">
        <v>7</v>
      </c>
      <c r="N26" s="509" t="s">
        <v>56</v>
      </c>
      <c r="O26" s="281">
        <v>28885500</v>
      </c>
      <c r="P26" s="471"/>
      <c r="Q26" s="471">
        <f>+O26+P26</f>
        <v>28885500</v>
      </c>
      <c r="R26" s="471"/>
      <c r="S26" s="471"/>
      <c r="T26" s="471"/>
      <c r="U26" s="471"/>
      <c r="V26" s="508"/>
      <c r="W26" s="507">
        <f>+Q26+V26</f>
        <v>28885500</v>
      </c>
      <c r="X26" s="137">
        <v>28885500</v>
      </c>
      <c r="Y26" s="136"/>
      <c r="Z26" s="88">
        <f t="shared" si="0"/>
        <v>28885500</v>
      </c>
      <c r="AA26" s="87">
        <v>41351</v>
      </c>
      <c r="AB26" s="50">
        <v>28</v>
      </c>
      <c r="AC26" s="50" t="s">
        <v>448</v>
      </c>
      <c r="AD26" s="431"/>
      <c r="AE26" s="50"/>
      <c r="AF26" s="50"/>
      <c r="AG26" s="49"/>
      <c r="AH26" s="3">
        <f>+AI26/Z26</f>
        <v>0.3</v>
      </c>
      <c r="AI26" s="2">
        <v>8665650</v>
      </c>
    </row>
    <row r="27" spans="2:35" ht="66.75" customHeight="1" x14ac:dyDescent="0.25">
      <c r="B27" s="1042"/>
      <c r="C27" s="1054"/>
      <c r="D27" s="1013"/>
      <c r="E27" s="1013"/>
      <c r="F27" s="1013"/>
      <c r="G27" s="1022"/>
      <c r="H27" s="1150"/>
      <c r="I27" s="509" t="s">
        <v>29</v>
      </c>
      <c r="J27" s="509">
        <v>187</v>
      </c>
      <c r="K27" s="506" t="s">
        <v>447</v>
      </c>
      <c r="L27" s="505" t="s">
        <v>122</v>
      </c>
      <c r="M27" s="212">
        <v>7</v>
      </c>
      <c r="N27" s="509" t="s">
        <v>56</v>
      </c>
      <c r="O27" s="281">
        <v>14148000</v>
      </c>
      <c r="P27" s="471"/>
      <c r="Q27" s="471">
        <f>+O27+P27</f>
        <v>14148000</v>
      </c>
      <c r="R27" s="471"/>
      <c r="S27" s="471"/>
      <c r="T27" s="471"/>
      <c r="U27" s="471"/>
      <c r="V27" s="508"/>
      <c r="W27" s="507">
        <f>+Q27+V27</f>
        <v>14148000</v>
      </c>
      <c r="X27" s="137">
        <v>14148000</v>
      </c>
      <c r="Y27" s="136"/>
      <c r="Z27" s="88">
        <f t="shared" si="0"/>
        <v>14148000</v>
      </c>
      <c r="AA27" s="87">
        <v>41351</v>
      </c>
      <c r="AB27" s="50">
        <v>29</v>
      </c>
      <c r="AC27" s="50" t="s">
        <v>446</v>
      </c>
      <c r="AD27" s="431"/>
      <c r="AE27" s="50"/>
      <c r="AF27" s="50"/>
      <c r="AG27" s="49"/>
      <c r="AH27" s="3">
        <f>+AI27/Z27</f>
        <v>0</v>
      </c>
      <c r="AI27" s="2">
        <v>0</v>
      </c>
    </row>
    <row r="28" spans="2:35" x14ac:dyDescent="0.25">
      <c r="B28" s="1042"/>
      <c r="C28" s="1054"/>
      <c r="D28" s="1013"/>
      <c r="E28" s="1013"/>
      <c r="F28" s="1014"/>
      <c r="G28" s="1019" t="s">
        <v>24</v>
      </c>
      <c r="H28" s="1019"/>
      <c r="I28" s="1019"/>
      <c r="J28" s="1019"/>
      <c r="K28" s="1019"/>
      <c r="L28" s="1019"/>
      <c r="M28" s="1019"/>
      <c r="N28" s="1019"/>
      <c r="O28" s="144">
        <f t="shared" ref="O28:W28" si="2">+O26+O27</f>
        <v>43033500</v>
      </c>
      <c r="P28" s="144">
        <f t="shared" si="2"/>
        <v>0</v>
      </c>
      <c r="Q28" s="144">
        <f t="shared" si="2"/>
        <v>43033500</v>
      </c>
      <c r="R28" s="144">
        <f t="shared" si="2"/>
        <v>0</v>
      </c>
      <c r="S28" s="144">
        <f t="shared" si="2"/>
        <v>0</v>
      </c>
      <c r="T28" s="144">
        <f t="shared" si="2"/>
        <v>0</v>
      </c>
      <c r="U28" s="144">
        <f t="shared" si="2"/>
        <v>0</v>
      </c>
      <c r="V28" s="144">
        <f t="shared" si="2"/>
        <v>0</v>
      </c>
      <c r="W28" s="144">
        <f t="shared" si="2"/>
        <v>43033500</v>
      </c>
      <c r="X28" s="297">
        <f>SUM(X26:X27)</f>
        <v>43033500</v>
      </c>
      <c r="Y28" s="297">
        <f>+Y26+Y27</f>
        <v>0</v>
      </c>
      <c r="Z28" s="88">
        <f t="shared" si="0"/>
        <v>43033500</v>
      </c>
      <c r="AA28" s="78"/>
      <c r="AB28" s="78"/>
      <c r="AC28" s="78"/>
      <c r="AD28" s="79">
        <f>+Z28/W28</f>
        <v>1</v>
      </c>
      <c r="AE28" s="78"/>
      <c r="AF28" s="79"/>
      <c r="AG28" s="226"/>
    </row>
    <row r="29" spans="2:35" ht="64.5" customHeight="1" x14ac:dyDescent="0.25">
      <c r="B29" s="1057" t="str">
        <f>+B18</f>
        <v>Proyecto No. 702 : Investigación e innovación para la construcción de conocimiento educativo y pedagógico.</v>
      </c>
      <c r="C29" s="1073" t="str">
        <f>+C18</f>
        <v>ESCUELA, CURRICULO Y PEDAOGÍA</v>
      </c>
      <c r="D29" s="1031" t="str">
        <f>+D18</f>
        <v>Desarrollar 23 estudios 
en Escuela, currículo y pedagogía</v>
      </c>
      <c r="E29" s="1031" t="str">
        <f>+E18</f>
        <v>Desarrollar 7 estudios en Escuela Curriculo y Pedagogía en el año 2013 y terminar el 0,80% del estudio del año 2012.</v>
      </c>
      <c r="F29" s="1068" t="str">
        <f>+F18</f>
        <v>Porcentaje de avance de los Estudios desarrollados en Escuela, currículo y pedagogía.</v>
      </c>
      <c r="G29" s="1020" t="s">
        <v>445</v>
      </c>
      <c r="H29" s="1030" t="s">
        <v>444</v>
      </c>
      <c r="I29" s="95" t="s">
        <v>29</v>
      </c>
      <c r="J29" s="95">
        <v>188</v>
      </c>
      <c r="K29" s="506" t="s">
        <v>443</v>
      </c>
      <c r="L29" s="505" t="s">
        <v>122</v>
      </c>
      <c r="M29" s="95">
        <v>6</v>
      </c>
      <c r="N29" s="95" t="s">
        <v>56</v>
      </c>
      <c r="O29" s="504">
        <v>35370000</v>
      </c>
      <c r="P29" s="503"/>
      <c r="Q29" s="471">
        <f t="shared" ref="Q29:Q36" si="3">+O29+P29</f>
        <v>35370000</v>
      </c>
      <c r="R29" s="502"/>
      <c r="S29" s="502"/>
      <c r="T29" s="502"/>
      <c r="U29" s="501"/>
      <c r="V29" s="500"/>
      <c r="W29" s="91">
        <f t="shared" ref="W29:W36" si="4">+Q29+V29</f>
        <v>35370000</v>
      </c>
      <c r="X29" s="137">
        <v>35370000</v>
      </c>
      <c r="Y29" s="136"/>
      <c r="Z29" s="88">
        <f t="shared" si="0"/>
        <v>35370000</v>
      </c>
      <c r="AA29" s="87">
        <v>41347</v>
      </c>
      <c r="AB29" s="50">
        <v>19</v>
      </c>
      <c r="AC29" s="86" t="s">
        <v>442</v>
      </c>
      <c r="AD29" s="431"/>
      <c r="AE29" s="50"/>
      <c r="AF29" s="50"/>
      <c r="AG29" s="49"/>
      <c r="AH29" s="3">
        <f t="shared" ref="AH29:AH36" si="5">+AI29/Z29</f>
        <v>0</v>
      </c>
      <c r="AI29" s="2">
        <v>0</v>
      </c>
    </row>
    <row r="30" spans="2:35" ht="51" x14ac:dyDescent="0.25">
      <c r="B30" s="1057"/>
      <c r="C30" s="1073"/>
      <c r="D30" s="1031"/>
      <c r="E30" s="1031"/>
      <c r="F30" s="1068"/>
      <c r="G30" s="1021"/>
      <c r="H30" s="1030"/>
      <c r="I30" s="95" t="s">
        <v>29</v>
      </c>
      <c r="J30" s="95">
        <v>189</v>
      </c>
      <c r="K30" s="216" t="s">
        <v>441</v>
      </c>
      <c r="L30" s="505" t="s">
        <v>122</v>
      </c>
      <c r="M30" s="95">
        <v>6</v>
      </c>
      <c r="N30" s="95" t="s">
        <v>56</v>
      </c>
      <c r="O30" s="504">
        <v>24759000</v>
      </c>
      <c r="P30" s="503"/>
      <c r="Q30" s="471">
        <f t="shared" si="3"/>
        <v>24759000</v>
      </c>
      <c r="R30" s="502"/>
      <c r="S30" s="502"/>
      <c r="T30" s="502"/>
      <c r="U30" s="501"/>
      <c r="V30" s="500"/>
      <c r="W30" s="91">
        <f t="shared" si="4"/>
        <v>24759000</v>
      </c>
      <c r="X30" s="137">
        <v>24759000</v>
      </c>
      <c r="Y30" s="136"/>
      <c r="Z30" s="88">
        <f t="shared" si="0"/>
        <v>24759000</v>
      </c>
      <c r="AA30" s="87">
        <v>41348</v>
      </c>
      <c r="AB30" s="50">
        <v>24</v>
      </c>
      <c r="AC30" s="50" t="s">
        <v>440</v>
      </c>
      <c r="AD30" s="431"/>
      <c r="AE30" s="50"/>
      <c r="AF30" s="50"/>
      <c r="AG30" s="49"/>
      <c r="AH30" s="3">
        <f t="shared" si="5"/>
        <v>0</v>
      </c>
      <c r="AI30" s="2">
        <v>0</v>
      </c>
    </row>
    <row r="31" spans="2:35" ht="48" customHeight="1" x14ac:dyDescent="0.25">
      <c r="B31" s="1057"/>
      <c r="C31" s="1073"/>
      <c r="D31" s="1031"/>
      <c r="E31" s="1031"/>
      <c r="F31" s="1068"/>
      <c r="G31" s="1021"/>
      <c r="H31" s="1030"/>
      <c r="I31" s="95" t="s">
        <v>29</v>
      </c>
      <c r="J31" s="95">
        <v>190</v>
      </c>
      <c r="K31" s="216" t="s">
        <v>439</v>
      </c>
      <c r="L31" s="505" t="s">
        <v>122</v>
      </c>
      <c r="M31" s="95">
        <v>6</v>
      </c>
      <c r="N31" s="95" t="s">
        <v>56</v>
      </c>
      <c r="O31" s="504">
        <v>24759000</v>
      </c>
      <c r="P31" s="503"/>
      <c r="Q31" s="471">
        <f t="shared" si="3"/>
        <v>24759000</v>
      </c>
      <c r="R31" s="502"/>
      <c r="S31" s="502"/>
      <c r="T31" s="502"/>
      <c r="U31" s="501"/>
      <c r="V31" s="500"/>
      <c r="W31" s="91">
        <f t="shared" si="4"/>
        <v>24759000</v>
      </c>
      <c r="X31" s="137">
        <v>24759000</v>
      </c>
      <c r="Y31" s="136"/>
      <c r="Z31" s="88">
        <f t="shared" si="0"/>
        <v>24759000</v>
      </c>
      <c r="AA31" s="87">
        <v>41347</v>
      </c>
      <c r="AB31" s="50">
        <v>18</v>
      </c>
      <c r="AC31" s="86" t="s">
        <v>438</v>
      </c>
      <c r="AD31" s="431"/>
      <c r="AE31" s="50"/>
      <c r="AF31" s="50"/>
      <c r="AG31" s="49"/>
      <c r="AH31" s="3">
        <f t="shared" si="5"/>
        <v>0</v>
      </c>
      <c r="AI31" s="2">
        <v>0</v>
      </c>
    </row>
    <row r="32" spans="2:35" ht="63.75" x14ac:dyDescent="0.25">
      <c r="B32" s="1057"/>
      <c r="C32" s="1073"/>
      <c r="D32" s="1031"/>
      <c r="E32" s="1031"/>
      <c r="F32" s="1068"/>
      <c r="G32" s="1021"/>
      <c r="H32" s="1030"/>
      <c r="I32" s="95" t="s">
        <v>29</v>
      </c>
      <c r="J32" s="95">
        <v>191</v>
      </c>
      <c r="K32" s="506" t="s">
        <v>437</v>
      </c>
      <c r="L32" s="505" t="s">
        <v>122</v>
      </c>
      <c r="M32" s="95">
        <v>6</v>
      </c>
      <c r="N32" s="95" t="s">
        <v>56</v>
      </c>
      <c r="O32" s="504">
        <v>24759000</v>
      </c>
      <c r="P32" s="503"/>
      <c r="Q32" s="471">
        <f t="shared" si="3"/>
        <v>24759000</v>
      </c>
      <c r="R32" s="502"/>
      <c r="S32" s="502"/>
      <c r="T32" s="502"/>
      <c r="U32" s="501"/>
      <c r="V32" s="500"/>
      <c r="W32" s="91">
        <f t="shared" si="4"/>
        <v>24759000</v>
      </c>
      <c r="X32" s="137">
        <v>24759000</v>
      </c>
      <c r="Y32" s="136"/>
      <c r="Z32" s="88">
        <f t="shared" si="0"/>
        <v>24759000</v>
      </c>
      <c r="AA32" s="87">
        <v>41347</v>
      </c>
      <c r="AB32" s="50">
        <v>21</v>
      </c>
      <c r="AC32" s="86" t="s">
        <v>436</v>
      </c>
      <c r="AD32" s="431"/>
      <c r="AE32" s="50"/>
      <c r="AF32" s="50"/>
      <c r="AG32" s="49"/>
      <c r="AH32" s="3">
        <f t="shared" si="5"/>
        <v>0</v>
      </c>
      <c r="AI32" s="2">
        <v>0</v>
      </c>
    </row>
    <row r="33" spans="2:35" ht="66" customHeight="1" x14ac:dyDescent="0.25">
      <c r="B33" s="1057"/>
      <c r="C33" s="1073"/>
      <c r="D33" s="1031"/>
      <c r="E33" s="1031"/>
      <c r="F33" s="1068"/>
      <c r="G33" s="1021"/>
      <c r="H33" s="1030"/>
      <c r="I33" s="154" t="s">
        <v>29</v>
      </c>
      <c r="J33" s="95">
        <v>192</v>
      </c>
      <c r="K33" s="216" t="s">
        <v>435</v>
      </c>
      <c r="L33" s="505" t="s">
        <v>122</v>
      </c>
      <c r="M33" s="95">
        <v>6</v>
      </c>
      <c r="N33" s="95" t="s">
        <v>56</v>
      </c>
      <c r="O33" s="504">
        <v>24759000</v>
      </c>
      <c r="P33" s="503"/>
      <c r="Q33" s="471">
        <f t="shared" si="3"/>
        <v>24759000</v>
      </c>
      <c r="R33" s="502"/>
      <c r="S33" s="502"/>
      <c r="T33" s="502"/>
      <c r="U33" s="501"/>
      <c r="V33" s="500"/>
      <c r="W33" s="91">
        <f t="shared" si="4"/>
        <v>24759000</v>
      </c>
      <c r="X33" s="137">
        <v>24759000</v>
      </c>
      <c r="Y33" s="136"/>
      <c r="Z33" s="88">
        <f t="shared" si="0"/>
        <v>24759000</v>
      </c>
      <c r="AA33" s="87">
        <v>41347</v>
      </c>
      <c r="AB33" s="50">
        <v>20</v>
      </c>
      <c r="AC33" s="86" t="s">
        <v>434</v>
      </c>
      <c r="AD33" s="431"/>
      <c r="AE33" s="50"/>
      <c r="AF33" s="50"/>
      <c r="AG33" s="49"/>
      <c r="AH33" s="3">
        <f t="shared" si="5"/>
        <v>0</v>
      </c>
      <c r="AI33" s="2">
        <v>0</v>
      </c>
    </row>
    <row r="34" spans="2:35" ht="78" customHeight="1" x14ac:dyDescent="0.25">
      <c r="B34" s="1057"/>
      <c r="C34" s="1073"/>
      <c r="D34" s="1031"/>
      <c r="E34" s="1031"/>
      <c r="F34" s="1068"/>
      <c r="G34" s="1021"/>
      <c r="H34" s="1030"/>
      <c r="I34" s="154" t="s">
        <v>29</v>
      </c>
      <c r="J34" s="95">
        <v>200</v>
      </c>
      <c r="K34" s="506" t="s">
        <v>433</v>
      </c>
      <c r="L34" s="505" t="s">
        <v>122</v>
      </c>
      <c r="M34" s="95">
        <v>6</v>
      </c>
      <c r="N34" s="95" t="s">
        <v>56</v>
      </c>
      <c r="O34" s="504">
        <v>21222000</v>
      </c>
      <c r="P34" s="503"/>
      <c r="Q34" s="471">
        <f t="shared" si="3"/>
        <v>21222000</v>
      </c>
      <c r="R34" s="502"/>
      <c r="S34" s="502"/>
      <c r="T34" s="502"/>
      <c r="U34" s="501"/>
      <c r="V34" s="500"/>
      <c r="W34" s="91">
        <f t="shared" si="4"/>
        <v>21222000</v>
      </c>
      <c r="X34" s="137">
        <v>21222000</v>
      </c>
      <c r="Y34" s="136"/>
      <c r="Z34" s="88">
        <f t="shared" si="0"/>
        <v>21222000</v>
      </c>
      <c r="AA34" s="87">
        <v>40986</v>
      </c>
      <c r="AB34" s="50">
        <v>27</v>
      </c>
      <c r="AC34" s="50" t="s">
        <v>419</v>
      </c>
      <c r="AD34" s="431"/>
      <c r="AE34" s="50"/>
      <c r="AF34" s="50"/>
      <c r="AG34" s="49"/>
      <c r="AH34" s="3">
        <f t="shared" si="5"/>
        <v>0</v>
      </c>
      <c r="AI34" s="2">
        <v>0</v>
      </c>
    </row>
    <row r="35" spans="2:35" ht="54.75" customHeight="1" x14ac:dyDescent="0.25">
      <c r="B35" s="1057"/>
      <c r="C35" s="1073"/>
      <c r="D35" s="1031"/>
      <c r="E35" s="1031"/>
      <c r="F35" s="1068"/>
      <c r="G35" s="1021"/>
      <c r="H35" s="1030"/>
      <c r="I35" s="95" t="s">
        <v>29</v>
      </c>
      <c r="J35" s="95">
        <v>213</v>
      </c>
      <c r="K35" s="216" t="s">
        <v>432</v>
      </c>
      <c r="L35" s="505" t="s">
        <v>122</v>
      </c>
      <c r="M35" s="95">
        <v>6</v>
      </c>
      <c r="N35" s="95" t="s">
        <v>56</v>
      </c>
      <c r="O35" s="504">
        <v>7074000</v>
      </c>
      <c r="P35" s="503"/>
      <c r="Q35" s="471">
        <f t="shared" si="3"/>
        <v>7074000</v>
      </c>
      <c r="R35" s="502"/>
      <c r="S35" s="502"/>
      <c r="T35" s="502"/>
      <c r="U35" s="501"/>
      <c r="V35" s="500"/>
      <c r="W35" s="91">
        <f t="shared" si="4"/>
        <v>7074000</v>
      </c>
      <c r="X35" s="137">
        <v>7074000</v>
      </c>
      <c r="Y35" s="136"/>
      <c r="Z35" s="88">
        <f t="shared" si="0"/>
        <v>7074000</v>
      </c>
      <c r="AA35" s="87">
        <v>41348</v>
      </c>
      <c r="AB35" s="50">
        <v>22</v>
      </c>
      <c r="AC35" s="50" t="s">
        <v>431</v>
      </c>
      <c r="AD35" s="431"/>
      <c r="AE35" s="50"/>
      <c r="AF35" s="50"/>
      <c r="AG35" s="49"/>
      <c r="AH35" s="3">
        <f t="shared" si="5"/>
        <v>0</v>
      </c>
      <c r="AI35" s="2">
        <v>0</v>
      </c>
    </row>
    <row r="36" spans="2:35" ht="55.5" customHeight="1" x14ac:dyDescent="0.25">
      <c r="B36" s="1057"/>
      <c r="C36" s="1073"/>
      <c r="D36" s="1031"/>
      <c r="E36" s="1031"/>
      <c r="F36" s="1068"/>
      <c r="G36" s="1022"/>
      <c r="H36" s="1040"/>
      <c r="I36" s="95" t="s">
        <v>29</v>
      </c>
      <c r="J36" s="95">
        <v>214</v>
      </c>
      <c r="K36" s="216" t="s">
        <v>430</v>
      </c>
      <c r="L36" s="505" t="s">
        <v>122</v>
      </c>
      <c r="M36" s="95">
        <v>6</v>
      </c>
      <c r="N36" s="95" t="s">
        <v>56</v>
      </c>
      <c r="O36" s="504">
        <v>7074000</v>
      </c>
      <c r="P36" s="503"/>
      <c r="Q36" s="471">
        <f t="shared" si="3"/>
        <v>7074000</v>
      </c>
      <c r="R36" s="502"/>
      <c r="S36" s="502"/>
      <c r="T36" s="502"/>
      <c r="U36" s="501"/>
      <c r="V36" s="500"/>
      <c r="W36" s="91">
        <f t="shared" si="4"/>
        <v>7074000</v>
      </c>
      <c r="X36" s="137">
        <v>7074000</v>
      </c>
      <c r="Y36" s="136"/>
      <c r="Z36" s="88">
        <f t="shared" si="0"/>
        <v>7074000</v>
      </c>
      <c r="AA36" s="87">
        <v>41348</v>
      </c>
      <c r="AB36" s="50">
        <v>23</v>
      </c>
      <c r="AC36" s="50" t="s">
        <v>429</v>
      </c>
      <c r="AD36" s="431"/>
      <c r="AE36" s="50"/>
      <c r="AF36" s="50"/>
      <c r="AG36" s="49"/>
      <c r="AH36" s="3">
        <f t="shared" si="5"/>
        <v>0</v>
      </c>
      <c r="AI36" s="2">
        <v>0</v>
      </c>
    </row>
    <row r="37" spans="2:35" ht="24" customHeight="1" x14ac:dyDescent="0.25">
      <c r="B37" s="1057"/>
      <c r="C37" s="1073"/>
      <c r="D37" s="1031"/>
      <c r="E37" s="1031"/>
      <c r="F37" s="1068"/>
      <c r="G37" s="1058" t="s">
        <v>24</v>
      </c>
      <c r="H37" s="1059"/>
      <c r="I37" s="1069"/>
      <c r="J37" s="1069"/>
      <c r="K37" s="1069"/>
      <c r="L37" s="1069"/>
      <c r="M37" s="1069"/>
      <c r="N37" s="1060"/>
      <c r="O37" s="499">
        <f t="shared" ref="O37:V37" si="6">SUM(O29:O36)</f>
        <v>169776000</v>
      </c>
      <c r="P37" s="499">
        <f t="shared" si="6"/>
        <v>0</v>
      </c>
      <c r="Q37" s="499">
        <f t="shared" si="6"/>
        <v>169776000</v>
      </c>
      <c r="R37" s="144">
        <f t="shared" si="6"/>
        <v>0</v>
      </c>
      <c r="S37" s="499">
        <f t="shared" si="6"/>
        <v>0</v>
      </c>
      <c r="T37" s="499">
        <f t="shared" si="6"/>
        <v>0</v>
      </c>
      <c r="U37" s="499">
        <f t="shared" si="6"/>
        <v>0</v>
      </c>
      <c r="V37" s="499">
        <f t="shared" si="6"/>
        <v>0</v>
      </c>
      <c r="W37" s="499">
        <f>+O37+R37</f>
        <v>169776000</v>
      </c>
      <c r="X37" s="297">
        <f>SUM(X29:X36)</f>
        <v>169776000</v>
      </c>
      <c r="Y37" s="297">
        <f>SUM(Y29:Y36)</f>
        <v>0</v>
      </c>
      <c r="Z37" s="88">
        <f t="shared" si="0"/>
        <v>169776000</v>
      </c>
      <c r="AA37" s="78"/>
      <c r="AB37" s="78"/>
      <c r="AC37" s="78"/>
      <c r="AD37" s="79">
        <f>+Z37/W37</f>
        <v>1</v>
      </c>
      <c r="AE37" s="78"/>
      <c r="AF37" s="79"/>
      <c r="AG37" s="226"/>
    </row>
    <row r="38" spans="2:35" ht="25.5" x14ac:dyDescent="0.25">
      <c r="B38" s="1057" t="str">
        <f>+B29</f>
        <v>Proyecto No. 702 : Investigación e innovación para la construcción de conocimiento educativo y pedagógico.</v>
      </c>
      <c r="C38" s="1057" t="str">
        <f>+C29</f>
        <v>ESCUELA, CURRICULO Y PEDAOGÍA</v>
      </c>
      <c r="D38" s="1057" t="str">
        <f>+D29</f>
        <v>Desarrollar 23 estudios 
en Escuela, currículo y pedagogía</v>
      </c>
      <c r="E38" s="1057" t="str">
        <f>+E29</f>
        <v>Desarrollar 7 estudios en Escuela Curriculo y Pedagogía en el año 2013 y terminar el 0,80% del estudio del año 2012.</v>
      </c>
      <c r="F38" s="1057" t="str">
        <f>+F29</f>
        <v>Porcentaje de avance de los Estudios desarrollados en Escuela, currículo y pedagogía.</v>
      </c>
      <c r="G38" s="1021" t="s">
        <v>428</v>
      </c>
      <c r="H38" s="1030" t="s">
        <v>427</v>
      </c>
      <c r="I38" s="95"/>
      <c r="J38" s="95">
        <v>197</v>
      </c>
      <c r="K38" s="216" t="s">
        <v>426</v>
      </c>
      <c r="L38" s="212" t="s">
        <v>36</v>
      </c>
      <c r="M38" s="212">
        <v>7</v>
      </c>
      <c r="N38" s="212" t="s">
        <v>56</v>
      </c>
      <c r="O38" s="496"/>
      <c r="P38" s="495"/>
      <c r="Q38" s="494"/>
      <c r="R38" s="493">
        <v>41265000</v>
      </c>
      <c r="S38" s="498">
        <v>41265000</v>
      </c>
      <c r="T38" s="498">
        <v>41265000</v>
      </c>
      <c r="U38" s="94"/>
      <c r="V38" s="360">
        <f t="shared" ref="V38:V43" si="7">+R38+U38</f>
        <v>41265000</v>
      </c>
      <c r="W38" s="491">
        <f>+Q38+V38</f>
        <v>41265000</v>
      </c>
      <c r="X38" s="133"/>
      <c r="Y38" s="343">
        <v>41265000</v>
      </c>
      <c r="Z38" s="88">
        <f t="shared" si="0"/>
        <v>41265000</v>
      </c>
      <c r="AA38" s="87">
        <v>41379</v>
      </c>
      <c r="AB38" s="50">
        <v>38</v>
      </c>
      <c r="AC38" s="50" t="s">
        <v>425</v>
      </c>
      <c r="AD38" s="431"/>
      <c r="AE38" s="86" t="s">
        <v>231</v>
      </c>
      <c r="AF38" s="291">
        <f>+R38</f>
        <v>41265000</v>
      </c>
      <c r="AG38" s="489">
        <f>+AF38</f>
        <v>41265000</v>
      </c>
      <c r="AH38" s="3">
        <f>+AI38/Z38</f>
        <v>0.4</v>
      </c>
      <c r="AI38" s="2">
        <v>16506000</v>
      </c>
    </row>
    <row r="39" spans="2:35" ht="25.5" x14ac:dyDescent="0.25">
      <c r="B39" s="1057"/>
      <c r="C39" s="1057"/>
      <c r="D39" s="1057"/>
      <c r="E39" s="1057"/>
      <c r="F39" s="1057"/>
      <c r="G39" s="1021"/>
      <c r="H39" s="1030"/>
      <c r="I39" s="95"/>
      <c r="J39" s="95">
        <v>198</v>
      </c>
      <c r="K39" s="216" t="s">
        <v>424</v>
      </c>
      <c r="L39" s="212" t="s">
        <v>36</v>
      </c>
      <c r="M39" s="212">
        <v>7</v>
      </c>
      <c r="N39" s="212" t="s">
        <v>56</v>
      </c>
      <c r="O39" s="496"/>
      <c r="P39" s="495"/>
      <c r="Q39" s="494"/>
      <c r="R39" s="493">
        <v>24759000</v>
      </c>
      <c r="S39" s="498">
        <v>24759000</v>
      </c>
      <c r="T39" s="498">
        <v>24759000</v>
      </c>
      <c r="U39" s="94"/>
      <c r="V39" s="360">
        <f t="shared" si="7"/>
        <v>24759000</v>
      </c>
      <c r="W39" s="491">
        <f>+Q39+V39</f>
        <v>24759000</v>
      </c>
      <c r="X39" s="133"/>
      <c r="Y39" s="343">
        <v>24759000</v>
      </c>
      <c r="Z39" s="88">
        <f t="shared" si="0"/>
        <v>24759000</v>
      </c>
      <c r="AA39" s="87">
        <v>41379</v>
      </c>
      <c r="AB39" s="50">
        <v>39</v>
      </c>
      <c r="AC39" s="50" t="s">
        <v>423</v>
      </c>
      <c r="AD39" s="431"/>
      <c r="AE39" s="86" t="s">
        <v>231</v>
      </c>
      <c r="AF39" s="291">
        <f>+R39</f>
        <v>24759000</v>
      </c>
      <c r="AG39" s="489">
        <f>+AF39</f>
        <v>24759000</v>
      </c>
      <c r="AH39" s="3">
        <f>+AI39/Z39</f>
        <v>0</v>
      </c>
      <c r="AI39" s="2">
        <v>0</v>
      </c>
    </row>
    <row r="40" spans="2:35" ht="25.5" x14ac:dyDescent="0.25">
      <c r="B40" s="1057"/>
      <c r="C40" s="1057"/>
      <c r="D40" s="1057"/>
      <c r="E40" s="1057"/>
      <c r="F40" s="1057"/>
      <c r="G40" s="1021"/>
      <c r="H40" s="1030"/>
      <c r="I40" s="95"/>
      <c r="J40" s="95">
        <v>199</v>
      </c>
      <c r="K40" s="216" t="s">
        <v>422</v>
      </c>
      <c r="L40" s="212" t="s">
        <v>36</v>
      </c>
      <c r="M40" s="212">
        <v>7</v>
      </c>
      <c r="N40" s="212" t="s">
        <v>56</v>
      </c>
      <c r="O40" s="496"/>
      <c r="P40" s="495"/>
      <c r="Q40" s="494"/>
      <c r="R40" s="493">
        <v>24759000</v>
      </c>
      <c r="S40" s="498">
        <v>24759000</v>
      </c>
      <c r="T40" s="498">
        <v>24759000</v>
      </c>
      <c r="U40" s="94"/>
      <c r="V40" s="360">
        <f t="shared" si="7"/>
        <v>24759000</v>
      </c>
      <c r="W40" s="491">
        <f>+Q40+V40</f>
        <v>24759000</v>
      </c>
      <c r="X40" s="133"/>
      <c r="Y40" s="343">
        <v>24759000</v>
      </c>
      <c r="Z40" s="88">
        <f t="shared" si="0"/>
        <v>24759000</v>
      </c>
      <c r="AA40" s="87">
        <v>41380</v>
      </c>
      <c r="AB40" s="50">
        <v>40</v>
      </c>
      <c r="AC40" s="50" t="s">
        <v>421</v>
      </c>
      <c r="AD40" s="431"/>
      <c r="AE40" s="86" t="s">
        <v>231</v>
      </c>
      <c r="AF40" s="291">
        <f>+R40</f>
        <v>24759000</v>
      </c>
      <c r="AG40" s="489">
        <f>+AF40</f>
        <v>24759000</v>
      </c>
      <c r="AH40" s="3">
        <f>+AI40/Z40</f>
        <v>0</v>
      </c>
      <c r="AI40" s="2">
        <v>0</v>
      </c>
    </row>
    <row r="41" spans="2:35" ht="63.75" x14ac:dyDescent="0.25">
      <c r="B41" s="1057"/>
      <c r="C41" s="1057"/>
      <c r="D41" s="1057"/>
      <c r="E41" s="1057"/>
      <c r="F41" s="1057"/>
      <c r="G41" s="1021"/>
      <c r="H41" s="1030"/>
      <c r="I41" s="95"/>
      <c r="J41" s="95">
        <v>200</v>
      </c>
      <c r="K41" s="497" t="s">
        <v>420</v>
      </c>
      <c r="L41" s="95" t="s">
        <v>36</v>
      </c>
      <c r="M41" s="95">
        <v>7</v>
      </c>
      <c r="N41" s="95" t="s">
        <v>56</v>
      </c>
      <c r="O41" s="496"/>
      <c r="P41" s="495"/>
      <c r="Q41" s="494"/>
      <c r="R41" s="493">
        <v>7074000</v>
      </c>
      <c r="S41" s="492">
        <v>7074000</v>
      </c>
      <c r="T41" s="492">
        <v>7074000</v>
      </c>
      <c r="U41" s="94"/>
      <c r="V41" s="360">
        <f t="shared" si="7"/>
        <v>7074000</v>
      </c>
      <c r="W41" s="491">
        <f>+Q41+V41</f>
        <v>7074000</v>
      </c>
      <c r="X41" s="137"/>
      <c r="Y41" s="343">
        <v>7074000</v>
      </c>
      <c r="Z41" s="88">
        <f t="shared" si="0"/>
        <v>7074000</v>
      </c>
      <c r="AA41" s="87">
        <v>41351</v>
      </c>
      <c r="AB41" s="50">
        <v>27</v>
      </c>
      <c r="AC41" s="50" t="s">
        <v>419</v>
      </c>
      <c r="AD41" s="431"/>
      <c r="AE41" s="86" t="s">
        <v>231</v>
      </c>
      <c r="AF41" s="291">
        <f>+R41</f>
        <v>7074000</v>
      </c>
      <c r="AG41" s="489">
        <f>+AF41</f>
        <v>7074000</v>
      </c>
      <c r="AH41" s="3">
        <f>+AI41/Z41</f>
        <v>0</v>
      </c>
      <c r="AI41" s="2">
        <v>0</v>
      </c>
    </row>
    <row r="42" spans="2:35" ht="38.25" x14ac:dyDescent="0.25">
      <c r="B42" s="1057"/>
      <c r="C42" s="1057"/>
      <c r="D42" s="1057"/>
      <c r="E42" s="1057"/>
      <c r="F42" s="1057"/>
      <c r="G42" s="1022"/>
      <c r="H42" s="1040"/>
      <c r="I42" s="95" t="s">
        <v>29</v>
      </c>
      <c r="J42" s="197">
        <v>319</v>
      </c>
      <c r="K42" s="290" t="s">
        <v>418</v>
      </c>
      <c r="L42" s="95" t="s">
        <v>36</v>
      </c>
      <c r="M42" s="95">
        <v>8</v>
      </c>
      <c r="N42" s="95" t="s">
        <v>56</v>
      </c>
      <c r="O42" s="496"/>
      <c r="P42" s="495"/>
      <c r="Q42" s="494"/>
      <c r="R42" s="493">
        <v>4703500</v>
      </c>
      <c r="S42" s="492">
        <v>4703500</v>
      </c>
      <c r="T42" s="492">
        <v>4703500</v>
      </c>
      <c r="U42" s="94"/>
      <c r="V42" s="360">
        <f t="shared" si="7"/>
        <v>4703500</v>
      </c>
      <c r="W42" s="491">
        <f>+Q42+V42</f>
        <v>4703500</v>
      </c>
      <c r="X42" s="137"/>
      <c r="Y42" s="136">
        <v>4703500</v>
      </c>
      <c r="Z42" s="88">
        <f t="shared" si="0"/>
        <v>4703500</v>
      </c>
      <c r="AA42" s="87">
        <v>41572</v>
      </c>
      <c r="AB42" s="50">
        <v>120</v>
      </c>
      <c r="AC42" s="50" t="s">
        <v>172</v>
      </c>
      <c r="AD42" s="431"/>
      <c r="AE42" s="490" t="s">
        <v>417</v>
      </c>
      <c r="AF42" s="291">
        <f>+R42</f>
        <v>4703500</v>
      </c>
      <c r="AG42" s="489">
        <f>+Z42</f>
        <v>4703500</v>
      </c>
      <c r="AH42" s="456">
        <f>+AI42/Z42</f>
        <v>43.875946635484212</v>
      </c>
      <c r="AI42" s="271">
        <v>206370515</v>
      </c>
    </row>
    <row r="43" spans="2:35" x14ac:dyDescent="0.25">
      <c r="B43" s="1057"/>
      <c r="C43" s="1057"/>
      <c r="D43" s="1057"/>
      <c r="E43" s="1057"/>
      <c r="F43" s="1057"/>
      <c r="G43" s="1058" t="s">
        <v>24</v>
      </c>
      <c r="H43" s="1059"/>
      <c r="I43" s="1059"/>
      <c r="J43" s="1059"/>
      <c r="K43" s="1059"/>
      <c r="L43" s="1059"/>
      <c r="M43" s="1059"/>
      <c r="N43" s="1060"/>
      <c r="O43" s="487">
        <f t="shared" ref="O43:T43" si="8">SUM(O38:O42)</f>
        <v>0</v>
      </c>
      <c r="P43" s="486">
        <f t="shared" si="8"/>
        <v>0</v>
      </c>
      <c r="Q43" s="486">
        <f t="shared" si="8"/>
        <v>0</v>
      </c>
      <c r="R43" s="486">
        <f t="shared" si="8"/>
        <v>102560500</v>
      </c>
      <c r="S43" s="486">
        <f t="shared" si="8"/>
        <v>102560500</v>
      </c>
      <c r="T43" s="486">
        <f t="shared" si="8"/>
        <v>102560500</v>
      </c>
      <c r="U43" s="487" t="e">
        <f>SUM(#REF!)</f>
        <v>#REF!</v>
      </c>
      <c r="V43" s="488" t="e">
        <f t="shared" si="7"/>
        <v>#REF!</v>
      </c>
      <c r="W43" s="487">
        <f t="shared" ref="W43:W56" si="9">+O43+R43</f>
        <v>102560500</v>
      </c>
      <c r="X43" s="486">
        <f>SUM(X38:X42)</f>
        <v>0</v>
      </c>
      <c r="Y43" s="80">
        <f>+Y38+Y39+Y40+Y41+Y42</f>
        <v>102560500</v>
      </c>
      <c r="Z43" s="88">
        <f t="shared" si="0"/>
        <v>102560500</v>
      </c>
      <c r="AA43" s="78"/>
      <c r="AB43" s="78"/>
      <c r="AC43" s="78"/>
      <c r="AD43" s="79">
        <f>+Z43/W43</f>
        <v>1</v>
      </c>
      <c r="AE43" s="277"/>
      <c r="AF43" s="485">
        <f>SUM(AF38:AF42)</f>
        <v>102560500</v>
      </c>
      <c r="AG43" s="484">
        <f>SUM(AG38:AG42)</f>
        <v>102560500</v>
      </c>
    </row>
    <row r="44" spans="2:35" ht="25.5" customHeight="1" x14ac:dyDescent="0.25">
      <c r="B44" s="1057" t="str">
        <f>+B38</f>
        <v>Proyecto No. 702 : Investigación e innovación para la construcción de conocimiento educativo y pedagógico.</v>
      </c>
      <c r="C44" s="1057" t="str">
        <f>+C38</f>
        <v>ESCUELA, CURRICULO Y PEDAOGÍA</v>
      </c>
      <c r="D44" s="1057" t="str">
        <f>+D38</f>
        <v>Desarrollar 23 estudios 
en Escuela, currículo y pedagogía</v>
      </c>
      <c r="E44" s="1057" t="str">
        <f>+E38</f>
        <v>Desarrollar 7 estudios en Escuela Curriculo y Pedagogía en el año 2013 y terminar el 0,80% del estudio del año 2012.</v>
      </c>
      <c r="F44" s="1057" t="str">
        <f>+F38</f>
        <v>Porcentaje de avance de los Estudios desarrollados en Escuela, currículo y pedagogía.</v>
      </c>
      <c r="G44" s="1020" t="s">
        <v>416</v>
      </c>
      <c r="H44" s="1029" t="s">
        <v>341</v>
      </c>
      <c r="I44" s="95"/>
      <c r="J44" s="295">
        <v>262</v>
      </c>
      <c r="K44" s="246" t="s">
        <v>415</v>
      </c>
      <c r="L44" s="483" t="s">
        <v>27</v>
      </c>
      <c r="M44" s="95">
        <v>7</v>
      </c>
      <c r="N44" s="212" t="s">
        <v>56</v>
      </c>
      <c r="O44" s="478">
        <v>53644500</v>
      </c>
      <c r="P44" s="477"/>
      <c r="Q44" s="476"/>
      <c r="R44" s="475"/>
      <c r="S44" s="94"/>
      <c r="T44" s="94"/>
      <c r="U44" s="94"/>
      <c r="V44" s="92"/>
      <c r="W44" s="91">
        <f t="shared" si="9"/>
        <v>53644500</v>
      </c>
      <c r="X44" s="137">
        <v>53644500</v>
      </c>
      <c r="Y44" s="133"/>
      <c r="Z44" s="88">
        <f t="shared" si="0"/>
        <v>53644500</v>
      </c>
      <c r="AA44" s="87">
        <v>41474</v>
      </c>
      <c r="AB44" s="50">
        <v>68</v>
      </c>
      <c r="AC44" s="50" t="s">
        <v>414</v>
      </c>
      <c r="AD44" s="431"/>
      <c r="AE44" s="50"/>
      <c r="AF44" s="136"/>
      <c r="AG44" s="342"/>
      <c r="AH44" s="3">
        <f>+AI44/Z44</f>
        <v>0.5</v>
      </c>
      <c r="AI44" s="2">
        <v>26822250</v>
      </c>
    </row>
    <row r="45" spans="2:35" ht="24" customHeight="1" x14ac:dyDescent="0.25">
      <c r="B45" s="1057"/>
      <c r="C45" s="1057"/>
      <c r="D45" s="1057"/>
      <c r="E45" s="1057"/>
      <c r="F45" s="1057"/>
      <c r="G45" s="1021"/>
      <c r="H45" s="1030"/>
      <c r="I45" s="95" t="s">
        <v>29</v>
      </c>
      <c r="J45" s="154">
        <v>263</v>
      </c>
      <c r="K45" s="246" t="s">
        <v>413</v>
      </c>
      <c r="L45" s="483" t="s">
        <v>27</v>
      </c>
      <c r="M45" s="95">
        <v>7</v>
      </c>
      <c r="N45" s="212" t="s">
        <v>56</v>
      </c>
      <c r="O45" s="478">
        <v>49518000</v>
      </c>
      <c r="P45" s="477"/>
      <c r="Q45" s="476"/>
      <c r="R45" s="475"/>
      <c r="S45" s="94"/>
      <c r="T45" s="94"/>
      <c r="U45" s="94"/>
      <c r="V45" s="92"/>
      <c r="W45" s="91">
        <f t="shared" si="9"/>
        <v>49518000</v>
      </c>
      <c r="X45" s="137">
        <v>49518000</v>
      </c>
      <c r="Y45" s="133"/>
      <c r="Z45" s="88">
        <f t="shared" si="0"/>
        <v>49518000</v>
      </c>
      <c r="AA45" s="87">
        <v>41513</v>
      </c>
      <c r="AB45" s="50">
        <v>89</v>
      </c>
      <c r="AC45" s="50" t="s">
        <v>412</v>
      </c>
      <c r="AD45" s="431"/>
      <c r="AE45" s="291"/>
      <c r="AF45" s="291"/>
      <c r="AG45" s="49"/>
      <c r="AH45" s="3">
        <f>+AI45/Z45</f>
        <v>0.6</v>
      </c>
      <c r="AI45" s="2">
        <v>29710800</v>
      </c>
    </row>
    <row r="46" spans="2:35" ht="57" customHeight="1" x14ac:dyDescent="0.25">
      <c r="B46" s="1057"/>
      <c r="C46" s="1057"/>
      <c r="D46" s="1057"/>
      <c r="E46" s="1057"/>
      <c r="F46" s="1057"/>
      <c r="G46" s="1021"/>
      <c r="H46" s="1030"/>
      <c r="I46" s="95"/>
      <c r="J46" s="154"/>
      <c r="K46" s="246" t="s">
        <v>411</v>
      </c>
      <c r="L46" s="384" t="s">
        <v>27</v>
      </c>
      <c r="M46" s="95">
        <v>4</v>
      </c>
      <c r="N46" s="212" t="s">
        <v>56</v>
      </c>
      <c r="O46" s="478">
        <f>152502250-152502250</f>
        <v>0</v>
      </c>
      <c r="P46" s="477"/>
      <c r="Q46" s="476"/>
      <c r="R46" s="475"/>
      <c r="S46" s="94"/>
      <c r="T46" s="94"/>
      <c r="U46" s="94"/>
      <c r="V46" s="92"/>
      <c r="W46" s="91">
        <f t="shared" si="9"/>
        <v>0</v>
      </c>
      <c r="X46" s="137"/>
      <c r="Y46" s="133"/>
      <c r="Z46" s="88">
        <f t="shared" si="0"/>
        <v>0</v>
      </c>
      <c r="AA46" s="50"/>
      <c r="AB46" s="50"/>
      <c r="AC46" s="50"/>
      <c r="AD46" s="431"/>
      <c r="AE46" s="50"/>
      <c r="AF46" s="50"/>
      <c r="AG46" s="49"/>
    </row>
    <row r="47" spans="2:35" ht="58.5" customHeight="1" x14ac:dyDescent="0.25">
      <c r="B47" s="1057"/>
      <c r="C47" s="1057"/>
      <c r="D47" s="1057"/>
      <c r="E47" s="1057"/>
      <c r="F47" s="1057"/>
      <c r="G47" s="1021"/>
      <c r="H47" s="1030"/>
      <c r="I47" s="95" t="s">
        <v>29</v>
      </c>
      <c r="J47" s="95">
        <v>334</v>
      </c>
      <c r="K47" s="482" t="s">
        <v>410</v>
      </c>
      <c r="L47" s="384" t="s">
        <v>40</v>
      </c>
      <c r="M47" s="95">
        <v>6</v>
      </c>
      <c r="N47" s="212" t="s">
        <v>56</v>
      </c>
      <c r="O47" s="479">
        <v>42444000</v>
      </c>
      <c r="P47" s="477"/>
      <c r="Q47" s="476"/>
      <c r="R47" s="475"/>
      <c r="S47" s="94"/>
      <c r="T47" s="94"/>
      <c r="U47" s="94"/>
      <c r="V47" s="92"/>
      <c r="W47" s="91">
        <f t="shared" si="9"/>
        <v>42444000</v>
      </c>
      <c r="X47" s="137">
        <v>42444000</v>
      </c>
      <c r="Y47" s="133"/>
      <c r="Z47" s="88">
        <f t="shared" si="0"/>
        <v>42444000</v>
      </c>
      <c r="AA47" s="87">
        <v>41520</v>
      </c>
      <c r="AB47" s="50">
        <v>93</v>
      </c>
      <c r="AC47" s="50" t="s">
        <v>409</v>
      </c>
      <c r="AD47" s="431"/>
      <c r="AE47" s="50"/>
      <c r="AF47" s="50"/>
      <c r="AG47" s="49"/>
      <c r="AH47" s="3">
        <f t="shared" ref="AH47:AH53" si="10">+AI47/Z47</f>
        <v>0.6</v>
      </c>
      <c r="AI47" s="2">
        <v>25466400</v>
      </c>
    </row>
    <row r="48" spans="2:35" ht="54" customHeight="1" x14ac:dyDescent="0.25">
      <c r="B48" s="1057"/>
      <c r="C48" s="1057"/>
      <c r="D48" s="1057"/>
      <c r="E48" s="1057"/>
      <c r="F48" s="1057"/>
      <c r="G48" s="1021"/>
      <c r="H48" s="1030"/>
      <c r="I48" s="95" t="s">
        <v>29</v>
      </c>
      <c r="J48" s="95">
        <v>322</v>
      </c>
      <c r="K48" s="480" t="s">
        <v>408</v>
      </c>
      <c r="L48" s="384" t="s">
        <v>40</v>
      </c>
      <c r="M48" s="95">
        <v>4</v>
      </c>
      <c r="N48" s="212" t="s">
        <v>56</v>
      </c>
      <c r="O48" s="479">
        <f>14148000+589500</f>
        <v>14737500</v>
      </c>
      <c r="P48" s="477"/>
      <c r="Q48" s="476"/>
      <c r="R48" s="475"/>
      <c r="S48" s="94"/>
      <c r="T48" s="94"/>
      <c r="U48" s="94"/>
      <c r="V48" s="92"/>
      <c r="W48" s="91">
        <f t="shared" si="9"/>
        <v>14737500</v>
      </c>
      <c r="X48" s="137">
        <v>14737500</v>
      </c>
      <c r="Y48" s="133"/>
      <c r="Z48" s="88">
        <f t="shared" si="0"/>
        <v>14737500</v>
      </c>
      <c r="AA48" s="87">
        <v>41520</v>
      </c>
      <c r="AB48" s="50">
        <v>94</v>
      </c>
      <c r="AC48" s="50" t="s">
        <v>407</v>
      </c>
      <c r="AD48" s="431"/>
      <c r="AE48" s="50"/>
      <c r="AF48" s="50"/>
      <c r="AG48" s="49"/>
      <c r="AH48" s="3">
        <f t="shared" si="10"/>
        <v>0.8</v>
      </c>
      <c r="AI48" s="2">
        <v>11790000</v>
      </c>
    </row>
    <row r="49" spans="2:35" ht="61.5" customHeight="1" x14ac:dyDescent="0.25">
      <c r="B49" s="1057"/>
      <c r="C49" s="1057"/>
      <c r="D49" s="1057"/>
      <c r="E49" s="1057"/>
      <c r="F49" s="1057"/>
      <c r="G49" s="1021"/>
      <c r="H49" s="1030"/>
      <c r="I49" s="95" t="s">
        <v>29</v>
      </c>
      <c r="J49" s="95">
        <v>335</v>
      </c>
      <c r="K49" s="481" t="s">
        <v>406</v>
      </c>
      <c r="L49" s="384" t="s">
        <v>40</v>
      </c>
      <c r="M49" s="95">
        <v>4</v>
      </c>
      <c r="N49" s="212" t="s">
        <v>56</v>
      </c>
      <c r="O49" s="479">
        <v>23580000</v>
      </c>
      <c r="P49" s="477"/>
      <c r="Q49" s="476"/>
      <c r="R49" s="475"/>
      <c r="S49" s="94"/>
      <c r="T49" s="94"/>
      <c r="U49" s="94"/>
      <c r="V49" s="92"/>
      <c r="W49" s="91">
        <f t="shared" si="9"/>
        <v>23580000</v>
      </c>
      <c r="X49" s="137">
        <v>23580000</v>
      </c>
      <c r="Y49" s="133"/>
      <c r="Z49" s="88">
        <f t="shared" si="0"/>
        <v>23580000</v>
      </c>
      <c r="AA49" s="87">
        <v>41520</v>
      </c>
      <c r="AB49" s="50">
        <v>95</v>
      </c>
      <c r="AC49" s="50" t="s">
        <v>405</v>
      </c>
      <c r="AD49" s="431"/>
      <c r="AE49" s="50"/>
      <c r="AF49" s="50"/>
      <c r="AG49" s="49"/>
      <c r="AH49" s="3">
        <f t="shared" si="10"/>
        <v>0.5</v>
      </c>
      <c r="AI49" s="2">
        <v>11790000</v>
      </c>
    </row>
    <row r="50" spans="2:35" ht="42" customHeight="1" x14ac:dyDescent="0.25">
      <c r="B50" s="1057"/>
      <c r="C50" s="1057"/>
      <c r="D50" s="1057"/>
      <c r="E50" s="1057"/>
      <c r="F50" s="1057"/>
      <c r="G50" s="1021"/>
      <c r="H50" s="1030"/>
      <c r="I50" s="95" t="s">
        <v>29</v>
      </c>
      <c r="J50" s="95">
        <v>336</v>
      </c>
      <c r="K50" s="480" t="s">
        <v>404</v>
      </c>
      <c r="L50" s="384" t="s">
        <v>40</v>
      </c>
      <c r="M50" s="95">
        <v>4</v>
      </c>
      <c r="N50" s="212" t="s">
        <v>56</v>
      </c>
      <c r="O50" s="479">
        <v>23580000</v>
      </c>
      <c r="P50" s="477"/>
      <c r="Q50" s="476"/>
      <c r="R50" s="475"/>
      <c r="S50" s="94"/>
      <c r="T50" s="94"/>
      <c r="U50" s="94"/>
      <c r="V50" s="92"/>
      <c r="W50" s="91">
        <f t="shared" si="9"/>
        <v>23580000</v>
      </c>
      <c r="X50" s="137">
        <v>23580000</v>
      </c>
      <c r="Y50" s="133"/>
      <c r="Z50" s="88">
        <f t="shared" si="0"/>
        <v>23580000</v>
      </c>
      <c r="AA50" s="87">
        <v>41521</v>
      </c>
      <c r="AB50" s="50">
        <v>97</v>
      </c>
      <c r="AC50" s="50" t="s">
        <v>403</v>
      </c>
      <c r="AD50" s="431"/>
      <c r="AE50" s="50"/>
      <c r="AF50" s="50"/>
      <c r="AG50" s="49"/>
      <c r="AH50" s="3">
        <f t="shared" si="10"/>
        <v>0.375</v>
      </c>
      <c r="AI50" s="2">
        <v>8842500</v>
      </c>
    </row>
    <row r="51" spans="2:35" ht="105.75" customHeight="1" x14ac:dyDescent="0.25">
      <c r="B51" s="1057"/>
      <c r="C51" s="1057"/>
      <c r="D51" s="1057"/>
      <c r="E51" s="1057"/>
      <c r="F51" s="1057"/>
      <c r="G51" s="1021"/>
      <c r="H51" s="1030"/>
      <c r="I51" s="95" t="s">
        <v>29</v>
      </c>
      <c r="J51" s="95">
        <v>337</v>
      </c>
      <c r="K51" s="480" t="s">
        <v>402</v>
      </c>
      <c r="L51" s="384" t="s">
        <v>40</v>
      </c>
      <c r="M51" s="95">
        <v>4</v>
      </c>
      <c r="N51" s="212" t="s">
        <v>56</v>
      </c>
      <c r="O51" s="479">
        <v>23580000</v>
      </c>
      <c r="P51" s="477"/>
      <c r="Q51" s="476"/>
      <c r="R51" s="475"/>
      <c r="S51" s="94"/>
      <c r="T51" s="94"/>
      <c r="U51" s="94"/>
      <c r="V51" s="92"/>
      <c r="W51" s="91">
        <f t="shared" si="9"/>
        <v>23580000</v>
      </c>
      <c r="X51" s="137">
        <v>23580000</v>
      </c>
      <c r="Y51" s="133"/>
      <c r="Z51" s="88">
        <f t="shared" si="0"/>
        <v>23580000</v>
      </c>
      <c r="AA51" s="87">
        <v>41528</v>
      </c>
      <c r="AB51" s="50">
        <v>101</v>
      </c>
      <c r="AC51" s="50" t="s">
        <v>401</v>
      </c>
      <c r="AD51" s="431"/>
      <c r="AE51" s="50"/>
      <c r="AF51" s="50"/>
      <c r="AG51" s="49"/>
      <c r="AH51" s="3">
        <f t="shared" si="10"/>
        <v>0.5</v>
      </c>
      <c r="AI51" s="2">
        <v>11790000</v>
      </c>
    </row>
    <row r="52" spans="2:35" ht="43.5" customHeight="1" x14ac:dyDescent="0.25">
      <c r="B52" s="1057"/>
      <c r="C52" s="1057"/>
      <c r="D52" s="1057"/>
      <c r="E52" s="1057"/>
      <c r="F52" s="1057"/>
      <c r="G52" s="1021"/>
      <c r="H52" s="1030"/>
      <c r="I52" s="95" t="s">
        <v>29</v>
      </c>
      <c r="J52" s="95">
        <v>338</v>
      </c>
      <c r="K52" s="480" t="s">
        <v>400</v>
      </c>
      <c r="L52" s="384" t="s">
        <v>40</v>
      </c>
      <c r="M52" s="95">
        <v>4</v>
      </c>
      <c r="N52" s="212" t="s">
        <v>56</v>
      </c>
      <c r="O52" s="479">
        <v>23580000</v>
      </c>
      <c r="P52" s="477"/>
      <c r="Q52" s="476"/>
      <c r="R52" s="475"/>
      <c r="S52" s="94"/>
      <c r="T52" s="94"/>
      <c r="U52" s="94"/>
      <c r="V52" s="92"/>
      <c r="W52" s="91">
        <f t="shared" si="9"/>
        <v>23580000</v>
      </c>
      <c r="X52" s="137">
        <v>23580000</v>
      </c>
      <c r="Y52" s="133"/>
      <c r="Z52" s="88">
        <f t="shared" si="0"/>
        <v>23580000</v>
      </c>
      <c r="AA52" s="87">
        <v>41529</v>
      </c>
      <c r="AB52" s="50">
        <v>103</v>
      </c>
      <c r="AC52" s="50" t="s">
        <v>399</v>
      </c>
      <c r="AD52" s="431"/>
      <c r="AE52" s="50"/>
      <c r="AF52" s="50"/>
      <c r="AG52" s="49"/>
      <c r="AH52" s="3">
        <f t="shared" si="10"/>
        <v>0.5</v>
      </c>
      <c r="AI52" s="2">
        <v>11790000</v>
      </c>
    </row>
    <row r="53" spans="2:35" ht="59.25" customHeight="1" x14ac:dyDescent="0.25">
      <c r="B53" s="1057"/>
      <c r="C53" s="1057"/>
      <c r="D53" s="1057"/>
      <c r="E53" s="1057"/>
      <c r="F53" s="1057"/>
      <c r="G53" s="1021"/>
      <c r="H53" s="1030"/>
      <c r="I53" s="95" t="s">
        <v>29</v>
      </c>
      <c r="J53" s="95">
        <v>329</v>
      </c>
      <c r="K53" s="246" t="s">
        <v>398</v>
      </c>
      <c r="L53" s="384" t="s">
        <v>40</v>
      </c>
      <c r="M53" s="95">
        <v>4</v>
      </c>
      <c r="N53" s="212" t="s">
        <v>56</v>
      </c>
      <c r="O53" s="478">
        <v>152502250</v>
      </c>
      <c r="P53" s="477"/>
      <c r="Q53" s="476"/>
      <c r="R53" s="475"/>
      <c r="S53" s="94"/>
      <c r="T53" s="94"/>
      <c r="U53" s="94"/>
      <c r="V53" s="92"/>
      <c r="W53" s="91">
        <f t="shared" si="9"/>
        <v>152502250</v>
      </c>
      <c r="X53" s="137">
        <v>152502250</v>
      </c>
      <c r="Y53" s="133"/>
      <c r="Z53" s="88">
        <f t="shared" si="0"/>
        <v>152502250</v>
      </c>
      <c r="AA53" s="87">
        <v>41558</v>
      </c>
      <c r="AB53" s="50">
        <v>118</v>
      </c>
      <c r="AC53" s="50" t="s">
        <v>397</v>
      </c>
      <c r="AD53" s="431"/>
      <c r="AE53" s="50"/>
      <c r="AF53" s="50"/>
      <c r="AG53" s="49"/>
      <c r="AH53" s="3">
        <f t="shared" si="10"/>
        <v>1</v>
      </c>
      <c r="AI53" s="2">
        <v>152502250</v>
      </c>
    </row>
    <row r="54" spans="2:35" ht="39" customHeight="1" x14ac:dyDescent="0.25">
      <c r="B54" s="1057"/>
      <c r="C54" s="1057"/>
      <c r="D54" s="1057"/>
      <c r="E54" s="1057"/>
      <c r="F54" s="1057"/>
      <c r="G54" s="1021"/>
      <c r="H54" s="1030"/>
      <c r="I54" s="95" t="s">
        <v>29</v>
      </c>
      <c r="J54" s="95">
        <v>319</v>
      </c>
      <c r="K54" s="246" t="s">
        <v>333</v>
      </c>
      <c r="L54" s="384" t="s">
        <v>27</v>
      </c>
      <c r="M54" s="95">
        <v>8</v>
      </c>
      <c r="N54" s="212" t="s">
        <v>56</v>
      </c>
      <c r="O54" s="478">
        <v>50000000</v>
      </c>
      <c r="P54" s="477"/>
      <c r="Q54" s="476"/>
      <c r="R54" s="475"/>
      <c r="S54" s="94"/>
      <c r="T54" s="94"/>
      <c r="U54" s="94"/>
      <c r="V54" s="92"/>
      <c r="W54" s="91">
        <f t="shared" si="9"/>
        <v>50000000</v>
      </c>
      <c r="X54" s="137">
        <v>50000000</v>
      </c>
      <c r="Y54" s="133"/>
      <c r="Z54" s="88">
        <f t="shared" si="0"/>
        <v>50000000</v>
      </c>
      <c r="AA54" s="87">
        <v>41572</v>
      </c>
      <c r="AB54" s="50">
        <v>120</v>
      </c>
      <c r="AC54" s="50" t="s">
        <v>172</v>
      </c>
      <c r="AD54" s="431"/>
      <c r="AE54" s="50"/>
      <c r="AF54" s="50"/>
      <c r="AG54" s="49"/>
      <c r="AI54" s="271"/>
    </row>
    <row r="55" spans="2:35" ht="39" customHeight="1" x14ac:dyDescent="0.25">
      <c r="B55" s="1057"/>
      <c r="C55" s="1057"/>
      <c r="D55" s="1057"/>
      <c r="E55" s="1057"/>
      <c r="F55" s="1057"/>
      <c r="G55" s="1021"/>
      <c r="H55" s="1030"/>
      <c r="I55" s="95" t="s">
        <v>29</v>
      </c>
      <c r="J55" s="95">
        <v>294</v>
      </c>
      <c r="K55" s="246" t="s">
        <v>396</v>
      </c>
      <c r="L55" s="384" t="s">
        <v>151</v>
      </c>
      <c r="M55" s="95">
        <v>6</v>
      </c>
      <c r="N55" s="212" t="s">
        <v>56</v>
      </c>
      <c r="O55" s="478">
        <v>31833000</v>
      </c>
      <c r="P55" s="477"/>
      <c r="Q55" s="476"/>
      <c r="R55" s="475"/>
      <c r="S55" s="94"/>
      <c r="T55" s="94"/>
      <c r="U55" s="94"/>
      <c r="V55" s="92"/>
      <c r="W55" s="91">
        <f t="shared" si="9"/>
        <v>31833000</v>
      </c>
      <c r="X55" s="137">
        <v>31833000</v>
      </c>
      <c r="Y55" s="133"/>
      <c r="Z55" s="88">
        <f t="shared" si="0"/>
        <v>31833000</v>
      </c>
      <c r="AA55" s="87">
        <v>41509</v>
      </c>
      <c r="AB55" s="50">
        <v>88</v>
      </c>
      <c r="AC55" s="50" t="s">
        <v>395</v>
      </c>
      <c r="AD55" s="431"/>
      <c r="AE55" s="50"/>
      <c r="AF55" s="50"/>
      <c r="AG55" s="49"/>
      <c r="AH55" s="3">
        <f>+AI55/Z55</f>
        <v>0.6</v>
      </c>
      <c r="AI55" s="2">
        <v>19099800</v>
      </c>
    </row>
    <row r="56" spans="2:35" ht="43.5" customHeight="1" x14ac:dyDescent="0.25">
      <c r="B56" s="1057"/>
      <c r="C56" s="1057"/>
      <c r="D56" s="1057"/>
      <c r="E56" s="1057"/>
      <c r="F56" s="1057"/>
      <c r="G56" s="1022"/>
      <c r="H56" s="1040"/>
      <c r="I56" s="95"/>
      <c r="J56" s="95">
        <v>268</v>
      </c>
      <c r="K56" s="246" t="s">
        <v>394</v>
      </c>
      <c r="L56" s="384" t="s">
        <v>27</v>
      </c>
      <c r="M56" s="95">
        <v>8</v>
      </c>
      <c r="N56" s="212" t="s">
        <v>56</v>
      </c>
      <c r="O56" s="478">
        <f>10000000+1590250-589500</f>
        <v>11000750</v>
      </c>
      <c r="P56" s="477"/>
      <c r="Q56" s="476"/>
      <c r="R56" s="475"/>
      <c r="S56" s="94"/>
      <c r="T56" s="94"/>
      <c r="U56" s="94"/>
      <c r="V56" s="92"/>
      <c r="W56" s="91">
        <f t="shared" si="9"/>
        <v>11000750</v>
      </c>
      <c r="X56" s="137">
        <v>11000750</v>
      </c>
      <c r="Y56" s="133"/>
      <c r="Z56" s="88">
        <f t="shared" si="0"/>
        <v>11000750</v>
      </c>
      <c r="AA56" s="87">
        <v>41577</v>
      </c>
      <c r="AB56" s="50">
        <v>123</v>
      </c>
      <c r="AC56" s="50" t="s">
        <v>393</v>
      </c>
      <c r="AD56" s="431"/>
      <c r="AE56" s="50"/>
      <c r="AF56" s="50"/>
      <c r="AG56" s="49"/>
      <c r="AH56" s="3">
        <f>+AI56/Z56</f>
        <v>1</v>
      </c>
      <c r="AI56" s="2">
        <v>11000750</v>
      </c>
    </row>
    <row r="57" spans="2:35" ht="21.75" customHeight="1" x14ac:dyDescent="0.25">
      <c r="B57" s="1057"/>
      <c r="C57" s="1057"/>
      <c r="D57" s="1057"/>
      <c r="E57" s="1057"/>
      <c r="F57" s="1057"/>
      <c r="G57" s="1058" t="s">
        <v>24</v>
      </c>
      <c r="H57" s="1059"/>
      <c r="I57" s="1059"/>
      <c r="J57" s="1059"/>
      <c r="K57" s="1059"/>
      <c r="L57" s="1059"/>
      <c r="M57" s="1059"/>
      <c r="N57" s="1060"/>
      <c r="O57" s="298">
        <f t="shared" ref="O57:Y57" si="11">SUM(O44:O56)</f>
        <v>500000000</v>
      </c>
      <c r="P57" s="298">
        <f t="shared" si="11"/>
        <v>0</v>
      </c>
      <c r="Q57" s="298">
        <f t="shared" si="11"/>
        <v>0</v>
      </c>
      <c r="R57" s="298">
        <f t="shared" si="11"/>
        <v>0</v>
      </c>
      <c r="S57" s="298">
        <f t="shared" si="11"/>
        <v>0</v>
      </c>
      <c r="T57" s="298">
        <f t="shared" si="11"/>
        <v>0</v>
      </c>
      <c r="U57" s="298">
        <f t="shared" si="11"/>
        <v>0</v>
      </c>
      <c r="V57" s="298">
        <f t="shared" si="11"/>
        <v>0</v>
      </c>
      <c r="W57" s="278">
        <f t="shared" si="11"/>
        <v>500000000</v>
      </c>
      <c r="X57" s="474">
        <f t="shared" si="11"/>
        <v>500000000</v>
      </c>
      <c r="Y57" s="474">
        <f t="shared" si="11"/>
        <v>0</v>
      </c>
      <c r="Z57" s="88">
        <f t="shared" si="0"/>
        <v>500000000</v>
      </c>
      <c r="AA57" s="78"/>
      <c r="AB57" s="78"/>
      <c r="AC57" s="78"/>
      <c r="AD57" s="79">
        <f>+Z57/W57</f>
        <v>1</v>
      </c>
      <c r="AE57" s="78"/>
      <c r="AF57" s="78"/>
      <c r="AG57" s="226"/>
    </row>
    <row r="58" spans="2:35" ht="51.75" customHeight="1" x14ac:dyDescent="0.25">
      <c r="B58" s="1042" t="str">
        <f>+B44</f>
        <v>Proyecto No. 702 : Investigación e innovación para la construcción de conocimiento educativo y pedagógico.</v>
      </c>
      <c r="C58" s="1042" t="str">
        <f>+C44</f>
        <v>ESCUELA, CURRICULO Y PEDAOGÍA</v>
      </c>
      <c r="D58" s="1042" t="str">
        <f>+D44</f>
        <v>Desarrollar 23 estudios 
en Escuela, currículo y pedagogía</v>
      </c>
      <c r="E58" s="1042" t="str">
        <f>+E44</f>
        <v>Desarrollar 7 estudios en Escuela Curriculo y Pedagogía en el año 2013 y terminar el 0,80% del estudio del año 2012.</v>
      </c>
      <c r="F58" s="1042" t="str">
        <f>+F44</f>
        <v>Porcentaje de avance de los Estudios desarrollados en Escuela, currículo y pedagogía.</v>
      </c>
      <c r="G58" s="1020" t="s">
        <v>392</v>
      </c>
      <c r="H58" s="1064" t="s">
        <v>341</v>
      </c>
      <c r="I58" s="472" t="s">
        <v>29</v>
      </c>
      <c r="J58" s="472">
        <v>312</v>
      </c>
      <c r="K58" s="473" t="s">
        <v>391</v>
      </c>
      <c r="L58" s="153" t="s">
        <v>390</v>
      </c>
      <c r="M58" s="95">
        <v>7</v>
      </c>
      <c r="N58" s="212" t="s">
        <v>56</v>
      </c>
      <c r="O58" s="281">
        <f>200000000+37138500</f>
        <v>237138500</v>
      </c>
      <c r="P58" s="262"/>
      <c r="Q58" s="471"/>
      <c r="R58" s="94"/>
      <c r="S58" s="94"/>
      <c r="T58" s="94"/>
      <c r="U58" s="93"/>
      <c r="V58" s="92"/>
      <c r="W58" s="91">
        <f>+O58+R58</f>
        <v>237138500</v>
      </c>
      <c r="X58" s="232">
        <v>237138500</v>
      </c>
      <c r="Y58" s="133"/>
      <c r="Z58" s="88">
        <f t="shared" si="0"/>
        <v>237138500</v>
      </c>
      <c r="AA58" s="87">
        <v>41562</v>
      </c>
      <c r="AB58" s="50">
        <v>119</v>
      </c>
      <c r="AC58" s="50" t="s">
        <v>389</v>
      </c>
      <c r="AD58" s="431"/>
      <c r="AE58" s="50"/>
      <c r="AF58" s="50"/>
      <c r="AG58" s="49"/>
      <c r="AH58" s="3">
        <f>+AI58/Z58</f>
        <v>0.6</v>
      </c>
      <c r="AI58" s="2">
        <v>142283100</v>
      </c>
    </row>
    <row r="59" spans="2:35" ht="48.75" customHeight="1" x14ac:dyDescent="0.25">
      <c r="B59" s="1042"/>
      <c r="C59" s="1042"/>
      <c r="D59" s="1042"/>
      <c r="E59" s="1042"/>
      <c r="F59" s="1042"/>
      <c r="G59" s="1022"/>
      <c r="H59" s="1065"/>
      <c r="I59" s="472" t="s">
        <v>29</v>
      </c>
      <c r="J59" s="472">
        <v>319</v>
      </c>
      <c r="K59" s="246" t="s">
        <v>333</v>
      </c>
      <c r="L59" s="153" t="s">
        <v>27</v>
      </c>
      <c r="M59" s="95">
        <v>8</v>
      </c>
      <c r="N59" s="212" t="s">
        <v>56</v>
      </c>
      <c r="O59" s="281">
        <v>12861500</v>
      </c>
      <c r="P59" s="262"/>
      <c r="Q59" s="471"/>
      <c r="R59" s="94"/>
      <c r="S59" s="94"/>
      <c r="T59" s="94"/>
      <c r="U59" s="93"/>
      <c r="V59" s="92"/>
      <c r="W59" s="91">
        <f>+O59+R59</f>
        <v>12861500</v>
      </c>
      <c r="X59" s="232">
        <v>12861500</v>
      </c>
      <c r="Y59" s="133"/>
      <c r="Z59" s="88">
        <f t="shared" si="0"/>
        <v>12861500</v>
      </c>
      <c r="AA59" s="87">
        <v>41572</v>
      </c>
      <c r="AB59" s="50">
        <v>120</v>
      </c>
      <c r="AC59" s="50" t="s">
        <v>172</v>
      </c>
      <c r="AD59" s="431"/>
      <c r="AE59" s="50"/>
      <c r="AF59" s="50"/>
      <c r="AG59" s="49"/>
      <c r="AI59" s="271"/>
    </row>
    <row r="60" spans="2:35" ht="21.75" customHeight="1" x14ac:dyDescent="0.25">
      <c r="B60" s="1043"/>
      <c r="C60" s="1043"/>
      <c r="D60" s="1043"/>
      <c r="E60" s="1043"/>
      <c r="F60" s="1043"/>
      <c r="G60" s="1019" t="s">
        <v>24</v>
      </c>
      <c r="H60" s="1019"/>
      <c r="I60" s="1019"/>
      <c r="J60" s="1019"/>
      <c r="K60" s="1019"/>
      <c r="L60" s="1019"/>
      <c r="M60" s="1019"/>
      <c r="N60" s="1019"/>
      <c r="O60" s="144">
        <f>SUM(O58:O59)</f>
        <v>250000000</v>
      </c>
      <c r="P60" s="144" t="e">
        <f>SUM(#REF!)</f>
        <v>#REF!</v>
      </c>
      <c r="Q60" s="144" t="e">
        <f>SUM(#REF!)</f>
        <v>#REF!</v>
      </c>
      <c r="R60" s="82">
        <f t="shared" ref="R60:Y60" si="12">SUM(R58:R59)</f>
        <v>0</v>
      </c>
      <c r="S60" s="82">
        <f t="shared" si="12"/>
        <v>0</v>
      </c>
      <c r="T60" s="82">
        <f t="shared" si="12"/>
        <v>0</v>
      </c>
      <c r="U60" s="82">
        <f t="shared" si="12"/>
        <v>0</v>
      </c>
      <c r="V60" s="82">
        <f t="shared" si="12"/>
        <v>0</v>
      </c>
      <c r="W60" s="82">
        <f t="shared" si="12"/>
        <v>250000000</v>
      </c>
      <c r="X60" s="82">
        <f t="shared" si="12"/>
        <v>250000000</v>
      </c>
      <c r="Y60" s="82">
        <f t="shared" si="12"/>
        <v>0</v>
      </c>
      <c r="Z60" s="88">
        <f t="shared" si="0"/>
        <v>250000000</v>
      </c>
      <c r="AA60" s="78"/>
      <c r="AB60" s="78"/>
      <c r="AC60" s="78"/>
      <c r="AD60" s="79">
        <f>+Z60/W60</f>
        <v>1</v>
      </c>
      <c r="AE60" s="78"/>
      <c r="AF60" s="78"/>
      <c r="AG60" s="226"/>
    </row>
    <row r="61" spans="2:35" ht="39.75" customHeight="1" x14ac:dyDescent="0.25">
      <c r="B61" s="1036" t="str">
        <f>+B38</f>
        <v>Proyecto No. 702 : Investigación e innovación para la construcción de conocimiento educativo y pedagógico.</v>
      </c>
      <c r="C61" s="1053" t="str">
        <f>+C38</f>
        <v>ESCUELA, CURRICULO Y PEDAOGÍA</v>
      </c>
      <c r="D61" s="1012" t="str">
        <f>+D38</f>
        <v>Desarrollar 23 estudios 
en Escuela, currículo y pedagogía</v>
      </c>
      <c r="E61" s="1012" t="str">
        <f>+E38</f>
        <v>Desarrollar 7 estudios en Escuela Curriculo y Pedagogía en el año 2013 y terminar el 0,80% del estudio del año 2012.</v>
      </c>
      <c r="F61" s="1041" t="str">
        <f>+F38</f>
        <v>Porcentaje de avance de los Estudios desarrollados en Escuela, currículo y pedagogía.</v>
      </c>
      <c r="G61" s="1020" t="s">
        <v>388</v>
      </c>
      <c r="H61" s="470"/>
      <c r="I61" s="153"/>
      <c r="J61" s="469"/>
      <c r="K61" s="290" t="s">
        <v>387</v>
      </c>
      <c r="L61" s="121" t="s">
        <v>48</v>
      </c>
      <c r="M61" s="121">
        <v>1</v>
      </c>
      <c r="N61" s="121" t="s">
        <v>56</v>
      </c>
      <c r="O61" s="287"/>
      <c r="P61" s="314"/>
      <c r="Q61" s="314">
        <f>+O61+P61</f>
        <v>0</v>
      </c>
      <c r="R61" s="287">
        <v>10444147</v>
      </c>
      <c r="S61" s="314"/>
      <c r="T61" s="314"/>
      <c r="U61" s="313">
        <f>+R61+T61</f>
        <v>10444147</v>
      </c>
      <c r="V61" s="312">
        <f>+Q61+U61</f>
        <v>10444147</v>
      </c>
      <c r="W61" s="312">
        <f>+Q61+V61</f>
        <v>10444147</v>
      </c>
      <c r="X61" s="327"/>
      <c r="Y61" s="50"/>
      <c r="Z61" s="88">
        <f t="shared" si="0"/>
        <v>0</v>
      </c>
      <c r="AA61" s="107"/>
      <c r="AB61" s="50"/>
      <c r="AC61" s="50"/>
      <c r="AD61" s="431"/>
      <c r="AE61" s="86" t="s">
        <v>385</v>
      </c>
      <c r="AF61" s="148">
        <v>214147</v>
      </c>
      <c r="AG61" s="468">
        <f>+Z61</f>
        <v>0</v>
      </c>
    </row>
    <row r="62" spans="2:35" ht="26.25" customHeight="1" x14ac:dyDescent="0.25">
      <c r="B62" s="1037"/>
      <c r="C62" s="1054"/>
      <c r="D62" s="1013"/>
      <c r="E62" s="1013"/>
      <c r="F62" s="1042"/>
      <c r="G62" s="1021"/>
      <c r="H62" s="439"/>
      <c r="I62" s="153" t="s">
        <v>29</v>
      </c>
      <c r="J62" s="153">
        <v>327</v>
      </c>
      <c r="K62" s="467" t="s">
        <v>386</v>
      </c>
      <c r="L62" s="153" t="s">
        <v>40</v>
      </c>
      <c r="M62" s="153"/>
      <c r="N62" s="212" t="s">
        <v>56</v>
      </c>
      <c r="O62" s="283"/>
      <c r="P62" s="338"/>
      <c r="Q62" s="338"/>
      <c r="R62" s="283">
        <v>9555853</v>
      </c>
      <c r="S62" s="338"/>
      <c r="T62" s="338"/>
      <c r="U62" s="337"/>
      <c r="V62" s="74"/>
      <c r="W62" s="74">
        <f>+O62+R62</f>
        <v>9555853</v>
      </c>
      <c r="X62" s="327"/>
      <c r="Y62" s="2">
        <v>9555853</v>
      </c>
      <c r="Z62" s="88">
        <f t="shared" si="0"/>
        <v>9555853</v>
      </c>
      <c r="AA62" s="87">
        <v>41556</v>
      </c>
      <c r="AB62" s="50">
        <v>117</v>
      </c>
      <c r="AC62" s="50" t="s">
        <v>304</v>
      </c>
      <c r="AD62" s="431"/>
      <c r="AE62" s="86" t="s">
        <v>385</v>
      </c>
      <c r="AF62" s="148">
        <f>+R62</f>
        <v>9555853</v>
      </c>
      <c r="AG62" s="466">
        <f>+Z62</f>
        <v>9555853</v>
      </c>
      <c r="AH62" s="3">
        <f>+AI62/Z62</f>
        <v>4.2521508022360743</v>
      </c>
      <c r="AI62" s="2">
        <v>40632928</v>
      </c>
    </row>
    <row r="63" spans="2:35" ht="41.25" customHeight="1" x14ac:dyDescent="0.25">
      <c r="B63" s="1037"/>
      <c r="C63" s="1054"/>
      <c r="D63" s="1013"/>
      <c r="E63" s="1013"/>
      <c r="F63" s="1042"/>
      <c r="G63" s="1021"/>
      <c r="H63" s="439"/>
      <c r="I63" s="153"/>
      <c r="J63" s="153">
        <v>253</v>
      </c>
      <c r="K63" s="294" t="s">
        <v>384</v>
      </c>
      <c r="L63" s="446" t="s">
        <v>48</v>
      </c>
      <c r="M63" s="121"/>
      <c r="N63" s="199" t="s">
        <v>56</v>
      </c>
      <c r="O63" s="287"/>
      <c r="P63" s="314"/>
      <c r="Q63" s="314"/>
      <c r="R63" s="445">
        <f>45000000-42879629</f>
        <v>2120371</v>
      </c>
      <c r="S63" s="314"/>
      <c r="T63" s="314"/>
      <c r="U63" s="313">
        <f>+R63+T63</f>
        <v>2120371</v>
      </c>
      <c r="V63" s="312">
        <f>+Q63+U63</f>
        <v>2120371</v>
      </c>
      <c r="W63" s="312">
        <f>+Q63+V63</f>
        <v>2120371</v>
      </c>
      <c r="X63" s="327"/>
      <c r="Y63" s="50"/>
      <c r="Z63" s="88">
        <f t="shared" si="0"/>
        <v>0</v>
      </c>
      <c r="AA63" s="50"/>
      <c r="AB63" s="50"/>
      <c r="AC63" s="50"/>
      <c r="AD63" s="431"/>
      <c r="AE63" s="107"/>
      <c r="AF63" s="50"/>
      <c r="AG63" s="49"/>
    </row>
    <row r="64" spans="2:35" ht="53.25" customHeight="1" x14ac:dyDescent="0.25">
      <c r="B64" s="1037"/>
      <c r="C64" s="1054"/>
      <c r="D64" s="1013"/>
      <c r="E64" s="1013"/>
      <c r="F64" s="1042"/>
      <c r="G64" s="1021"/>
      <c r="H64" s="439"/>
      <c r="I64" s="153" t="s">
        <v>42</v>
      </c>
      <c r="J64" s="153">
        <v>305</v>
      </c>
      <c r="K64" s="465" t="s">
        <v>383</v>
      </c>
      <c r="L64" s="353" t="s">
        <v>40</v>
      </c>
      <c r="M64" s="153">
        <v>1</v>
      </c>
      <c r="N64" s="212" t="s">
        <v>47</v>
      </c>
      <c r="O64" s="283"/>
      <c r="P64" s="338"/>
      <c r="Q64" s="338"/>
      <c r="R64" s="432">
        <v>58400000</v>
      </c>
      <c r="S64" s="338"/>
      <c r="T64" s="338"/>
      <c r="U64" s="337"/>
      <c r="V64" s="74"/>
      <c r="W64" s="74">
        <f>+O64+R64</f>
        <v>58400000</v>
      </c>
      <c r="X64" s="327"/>
      <c r="Y64" s="136">
        <v>58400000</v>
      </c>
      <c r="Z64" s="88">
        <f t="shared" si="0"/>
        <v>58400000</v>
      </c>
      <c r="AA64" s="87">
        <v>41540</v>
      </c>
      <c r="AB64" s="50">
        <v>113</v>
      </c>
      <c r="AC64" s="50" t="s">
        <v>39</v>
      </c>
      <c r="AD64" s="431"/>
      <c r="AE64" s="50"/>
      <c r="AF64" s="50"/>
      <c r="AG64" s="49"/>
      <c r="AH64" s="3">
        <f>+AI64/Z64</f>
        <v>0.78595890410958902</v>
      </c>
      <c r="AI64" s="113">
        <v>45900000</v>
      </c>
    </row>
    <row r="65" spans="2:43" ht="43.5" customHeight="1" x14ac:dyDescent="0.25">
      <c r="B65" s="1037"/>
      <c r="C65" s="1054"/>
      <c r="D65" s="1013"/>
      <c r="E65" s="1013"/>
      <c r="F65" s="1042"/>
      <c r="G65" s="1021"/>
      <c r="H65" s="1021" t="s">
        <v>234</v>
      </c>
      <c r="I65" s="153"/>
      <c r="J65" s="153"/>
      <c r="K65" s="464" t="s">
        <v>382</v>
      </c>
      <c r="L65" s="359"/>
      <c r="M65" s="410"/>
      <c r="N65" s="410"/>
      <c r="O65" s="357"/>
      <c r="P65" s="357"/>
      <c r="Q65" s="357"/>
      <c r="R65" s="451">
        <f>59616110-58400000</f>
        <v>1216110</v>
      </c>
      <c r="S65" s="462"/>
      <c r="T65" s="462"/>
      <c r="U65" s="463"/>
      <c r="V65" s="462"/>
      <c r="W65" s="443">
        <f>+O65+R65</f>
        <v>1216110</v>
      </c>
      <c r="X65" s="327"/>
      <c r="Y65" s="50"/>
      <c r="Z65" s="88">
        <f t="shared" si="0"/>
        <v>0</v>
      </c>
      <c r="AA65" s="50"/>
      <c r="AB65" s="50"/>
      <c r="AC65" s="107"/>
      <c r="AD65" s="431"/>
      <c r="AE65" s="50"/>
      <c r="AF65" s="50"/>
      <c r="AG65" s="49"/>
    </row>
    <row r="66" spans="2:43" ht="27" customHeight="1" x14ac:dyDescent="0.25">
      <c r="B66" s="1037"/>
      <c r="C66" s="1054"/>
      <c r="D66" s="1013"/>
      <c r="E66" s="1013"/>
      <c r="F66" s="1042"/>
      <c r="G66" s="1021"/>
      <c r="H66" s="1021"/>
      <c r="I66" s="153"/>
      <c r="J66" s="153">
        <v>257</v>
      </c>
      <c r="K66" s="434" t="s">
        <v>381</v>
      </c>
      <c r="L66" s="353" t="s">
        <v>36</v>
      </c>
      <c r="M66" s="153"/>
      <c r="N66" s="212" t="s">
        <v>56</v>
      </c>
      <c r="O66" s="283"/>
      <c r="P66" s="338"/>
      <c r="Q66" s="338"/>
      <c r="R66" s="432">
        <v>33000000</v>
      </c>
      <c r="S66" s="338"/>
      <c r="T66" s="338"/>
      <c r="U66" s="337">
        <f>+R66+T66</f>
        <v>33000000</v>
      </c>
      <c r="V66" s="74">
        <f>+Q66+U66</f>
        <v>33000000</v>
      </c>
      <c r="W66" s="74">
        <f>+Q66+V66</f>
        <v>33000000</v>
      </c>
      <c r="X66" s="327"/>
      <c r="Y66" s="136">
        <v>33000000</v>
      </c>
      <c r="Z66" s="88">
        <f t="shared" si="0"/>
        <v>33000000</v>
      </c>
      <c r="AA66" s="87">
        <v>41390</v>
      </c>
      <c r="AB66" s="50" t="s">
        <v>380</v>
      </c>
      <c r="AC66" s="86" t="s">
        <v>172</v>
      </c>
      <c r="AD66" s="431"/>
      <c r="AE66" s="86" t="s">
        <v>379</v>
      </c>
      <c r="AF66" s="50"/>
      <c r="AG66" s="49"/>
      <c r="AH66" s="3">
        <f>+AI66/Z66</f>
        <v>0</v>
      </c>
      <c r="AI66" s="2">
        <v>0</v>
      </c>
    </row>
    <row r="67" spans="2:43" ht="25.5" customHeight="1" x14ac:dyDescent="0.25">
      <c r="B67" s="1037"/>
      <c r="C67" s="1054"/>
      <c r="D67" s="1013"/>
      <c r="E67" s="1013"/>
      <c r="F67" s="1042"/>
      <c r="G67" s="1021"/>
      <c r="H67" s="1021"/>
      <c r="I67" s="153"/>
      <c r="J67" s="153"/>
      <c r="K67" s="434" t="s">
        <v>378</v>
      </c>
      <c r="L67" s="353" t="s">
        <v>48</v>
      </c>
      <c r="M67" s="153"/>
      <c r="N67" s="212" t="s">
        <v>56</v>
      </c>
      <c r="O67" s="283"/>
      <c r="P67" s="338"/>
      <c r="Q67" s="338"/>
      <c r="R67" s="432">
        <f>87647333-12939238-17011830-57696265</f>
        <v>0</v>
      </c>
      <c r="S67" s="338"/>
      <c r="T67" s="338"/>
      <c r="U67" s="337">
        <f>+R67+T67</f>
        <v>0</v>
      </c>
      <c r="V67" s="74">
        <f>+Q67+U67</f>
        <v>0</v>
      </c>
      <c r="W67" s="74">
        <f>+Q67+V67</f>
        <v>0</v>
      </c>
      <c r="X67" s="327"/>
      <c r="Y67" s="50"/>
      <c r="Z67" s="88">
        <f t="shared" si="0"/>
        <v>0</v>
      </c>
      <c r="AA67" s="50"/>
      <c r="AB67" s="50"/>
      <c r="AC67" s="50"/>
      <c r="AD67" s="431"/>
      <c r="AE67" s="50"/>
      <c r="AF67" s="50"/>
      <c r="AG67" s="49"/>
      <c r="AO67" s="440">
        <f>+R67</f>
        <v>0</v>
      </c>
      <c r="AQ67" s="1">
        <f>2426333+26776653+2362134+9394664</f>
        <v>40959784</v>
      </c>
    </row>
    <row r="68" spans="2:43" ht="38.25" customHeight="1" x14ac:dyDescent="0.25">
      <c r="B68" s="1037"/>
      <c r="C68" s="1054"/>
      <c r="D68" s="1013"/>
      <c r="E68" s="1013"/>
      <c r="F68" s="1042"/>
      <c r="G68" s="439"/>
      <c r="H68" s="1021"/>
      <c r="I68" s="153" t="s">
        <v>29</v>
      </c>
      <c r="J68" s="153">
        <v>306</v>
      </c>
      <c r="K68" s="460" t="s">
        <v>377</v>
      </c>
      <c r="L68" s="353" t="s">
        <v>40</v>
      </c>
      <c r="M68" s="153">
        <v>1</v>
      </c>
      <c r="N68" s="353" t="s">
        <v>369</v>
      </c>
      <c r="O68" s="283"/>
      <c r="P68" s="338"/>
      <c r="Q68" s="338"/>
      <c r="R68" s="461">
        <v>1856000</v>
      </c>
      <c r="S68" s="338"/>
      <c r="T68" s="338"/>
      <c r="U68" s="337"/>
      <c r="V68" s="75"/>
      <c r="W68" s="74">
        <f t="shared" ref="W68:W78" si="13">+O68+R68</f>
        <v>1856000</v>
      </c>
      <c r="X68" s="327"/>
      <c r="Y68" s="137">
        <v>1856000</v>
      </c>
      <c r="Z68" s="88">
        <f t="shared" si="0"/>
        <v>1856000</v>
      </c>
      <c r="AA68" s="87">
        <v>41535</v>
      </c>
      <c r="AB68" s="50">
        <v>108</v>
      </c>
      <c r="AC68" s="50" t="s">
        <v>376</v>
      </c>
      <c r="AD68" s="431"/>
      <c r="AE68" s="50"/>
      <c r="AF68" s="50"/>
      <c r="AG68" s="49"/>
      <c r="AH68" s="3">
        <f>+AI68/Z68</f>
        <v>0</v>
      </c>
      <c r="AI68" s="2">
        <v>0</v>
      </c>
      <c r="AO68" s="440"/>
    </row>
    <row r="69" spans="2:43" ht="67.5" customHeight="1" x14ac:dyDescent="0.25">
      <c r="B69" s="1037"/>
      <c r="C69" s="1054"/>
      <c r="D69" s="1013"/>
      <c r="E69" s="1013"/>
      <c r="F69" s="1042"/>
      <c r="G69" s="439"/>
      <c r="H69" s="1021"/>
      <c r="I69" s="153"/>
      <c r="J69" s="153"/>
      <c r="K69" s="359" t="s">
        <v>375</v>
      </c>
      <c r="L69" s="359"/>
      <c r="M69" s="410"/>
      <c r="N69" s="359"/>
      <c r="O69" s="357"/>
      <c r="P69" s="357"/>
      <c r="Q69" s="357"/>
      <c r="R69" s="458">
        <f>2426333-1856000</f>
        <v>570333</v>
      </c>
      <c r="S69" s="357"/>
      <c r="T69" s="357"/>
      <c r="U69" s="450"/>
      <c r="V69" s="450"/>
      <c r="W69" s="443">
        <f t="shared" si="13"/>
        <v>570333</v>
      </c>
      <c r="X69" s="327"/>
      <c r="Y69" s="137"/>
      <c r="Z69" s="88">
        <f t="shared" si="0"/>
        <v>0</v>
      </c>
      <c r="AA69" s="87"/>
      <c r="AB69" s="50"/>
      <c r="AC69" s="50"/>
      <c r="AD69" s="431"/>
      <c r="AE69" s="50"/>
      <c r="AF69" s="50"/>
      <c r="AG69" s="49"/>
      <c r="AO69" s="440"/>
    </row>
    <row r="70" spans="2:43" ht="74.25" customHeight="1" x14ac:dyDescent="0.25">
      <c r="B70" s="1037"/>
      <c r="C70" s="1054"/>
      <c r="D70" s="1013"/>
      <c r="E70" s="1013"/>
      <c r="F70" s="1042"/>
      <c r="G70" s="439"/>
      <c r="H70" s="1021"/>
      <c r="I70" s="153"/>
      <c r="J70" s="353">
        <v>307</v>
      </c>
      <c r="K70" s="460" t="s">
        <v>373</v>
      </c>
      <c r="L70" s="353" t="s">
        <v>40</v>
      </c>
      <c r="M70" s="153">
        <v>1</v>
      </c>
      <c r="N70" s="353" t="s">
        <v>47</v>
      </c>
      <c r="O70" s="283"/>
      <c r="P70" s="338"/>
      <c r="Q70" s="338"/>
      <c r="R70" s="459">
        <v>26148105</v>
      </c>
      <c r="S70" s="338"/>
      <c r="T70" s="338"/>
      <c r="U70" s="337"/>
      <c r="V70" s="75"/>
      <c r="W70" s="74">
        <f t="shared" si="13"/>
        <v>26148105</v>
      </c>
      <c r="X70" s="327"/>
      <c r="Y70" s="137">
        <v>26148105</v>
      </c>
      <c r="Z70" s="88">
        <f t="shared" si="0"/>
        <v>26148105</v>
      </c>
      <c r="AA70" s="87">
        <v>41528</v>
      </c>
      <c r="AB70" s="50">
        <v>102</v>
      </c>
      <c r="AC70" s="50" t="s">
        <v>374</v>
      </c>
      <c r="AD70" s="431"/>
      <c r="AE70" s="50"/>
      <c r="AF70" s="50"/>
      <c r="AG70" s="49"/>
      <c r="AH70" s="3">
        <f>+AI70/Z70</f>
        <v>0</v>
      </c>
      <c r="AI70" s="2">
        <v>0</v>
      </c>
      <c r="AO70" s="440"/>
    </row>
    <row r="71" spans="2:43" ht="18.75" customHeight="1" x14ac:dyDescent="0.25">
      <c r="B71" s="1037"/>
      <c r="C71" s="1054"/>
      <c r="D71" s="1013"/>
      <c r="E71" s="1013"/>
      <c r="F71" s="1042"/>
      <c r="G71" s="439"/>
      <c r="H71" s="1021"/>
      <c r="I71" s="153"/>
      <c r="J71" s="353"/>
      <c r="K71" s="460" t="s">
        <v>373</v>
      </c>
      <c r="L71" s="353"/>
      <c r="M71" s="153"/>
      <c r="N71" s="353"/>
      <c r="O71" s="283"/>
      <c r="P71" s="338"/>
      <c r="Q71" s="338"/>
      <c r="R71" s="459">
        <f>26776653-26148105-628548</f>
        <v>0</v>
      </c>
      <c r="S71" s="338"/>
      <c r="T71" s="338"/>
      <c r="U71" s="337"/>
      <c r="V71" s="75"/>
      <c r="W71" s="74">
        <f t="shared" si="13"/>
        <v>0</v>
      </c>
      <c r="X71" s="327"/>
      <c r="Y71" s="137"/>
      <c r="Z71" s="88">
        <f t="shared" si="0"/>
        <v>0</v>
      </c>
      <c r="AA71" s="87"/>
      <c r="AB71" s="50"/>
      <c r="AC71" s="50"/>
      <c r="AD71" s="431"/>
      <c r="AE71" s="50"/>
      <c r="AF71" s="50"/>
      <c r="AG71" s="49"/>
      <c r="AO71" s="440"/>
    </row>
    <row r="72" spans="2:43" ht="36" customHeight="1" x14ac:dyDescent="0.25">
      <c r="B72" s="1037"/>
      <c r="C72" s="1054"/>
      <c r="D72" s="1013"/>
      <c r="E72" s="1013"/>
      <c r="F72" s="1042"/>
      <c r="G72" s="439"/>
      <c r="H72" s="1021"/>
      <c r="I72" s="153"/>
      <c r="J72" s="353">
        <v>308</v>
      </c>
      <c r="K72" s="460" t="s">
        <v>371</v>
      </c>
      <c r="L72" s="353" t="s">
        <v>40</v>
      </c>
      <c r="M72" s="153">
        <v>1</v>
      </c>
      <c r="N72" s="353" t="s">
        <v>369</v>
      </c>
      <c r="O72" s="283"/>
      <c r="P72" s="338"/>
      <c r="Q72" s="338"/>
      <c r="R72" s="459">
        <v>2139721</v>
      </c>
      <c r="S72" s="338"/>
      <c r="T72" s="338"/>
      <c r="U72" s="337"/>
      <c r="V72" s="75"/>
      <c r="W72" s="74">
        <f t="shared" si="13"/>
        <v>2139721</v>
      </c>
      <c r="X72" s="327"/>
      <c r="Y72" s="137">
        <v>2139721</v>
      </c>
      <c r="Z72" s="88">
        <f t="shared" si="0"/>
        <v>2139721</v>
      </c>
      <c r="AA72" s="87">
        <v>41519</v>
      </c>
      <c r="AB72" s="50">
        <v>92</v>
      </c>
      <c r="AC72" s="86" t="s">
        <v>372</v>
      </c>
      <c r="AD72" s="431"/>
      <c r="AE72" s="50"/>
      <c r="AF72" s="50"/>
      <c r="AG72" s="49"/>
      <c r="AH72" s="3">
        <f>+AI72/Z72</f>
        <v>0</v>
      </c>
      <c r="AI72" s="2">
        <v>0</v>
      </c>
      <c r="AO72" s="440"/>
    </row>
    <row r="73" spans="2:43" ht="38.25" customHeight="1" x14ac:dyDescent="0.25">
      <c r="B73" s="1037"/>
      <c r="C73" s="1054"/>
      <c r="D73" s="1013"/>
      <c r="E73" s="1013"/>
      <c r="F73" s="1042"/>
      <c r="G73" s="439"/>
      <c r="H73" s="1021"/>
      <c r="I73" s="153"/>
      <c r="J73" s="353"/>
      <c r="K73" s="460" t="s">
        <v>371</v>
      </c>
      <c r="L73" s="353"/>
      <c r="M73" s="153"/>
      <c r="N73" s="353"/>
      <c r="O73" s="283"/>
      <c r="P73" s="338"/>
      <c r="Q73" s="338"/>
      <c r="R73" s="459">
        <f>2362134-2139721-222413</f>
        <v>0</v>
      </c>
      <c r="S73" s="338"/>
      <c r="T73" s="338"/>
      <c r="U73" s="337"/>
      <c r="V73" s="75"/>
      <c r="W73" s="74">
        <f t="shared" si="13"/>
        <v>0</v>
      </c>
      <c r="X73" s="327"/>
      <c r="Y73" s="137"/>
      <c r="Z73" s="88">
        <f t="shared" si="0"/>
        <v>0</v>
      </c>
      <c r="AA73" s="87"/>
      <c r="AB73" s="50"/>
      <c r="AC73" s="86"/>
      <c r="AD73" s="431"/>
      <c r="AE73" s="50"/>
      <c r="AF73" s="50"/>
      <c r="AG73" s="49"/>
      <c r="AO73" s="440"/>
    </row>
    <row r="74" spans="2:43" ht="35.25" customHeight="1" x14ac:dyDescent="0.25">
      <c r="B74" s="1037"/>
      <c r="C74" s="1054"/>
      <c r="D74" s="1013"/>
      <c r="E74" s="1013"/>
      <c r="F74" s="1042"/>
      <c r="G74" s="439"/>
      <c r="H74" s="1021"/>
      <c r="I74" s="153" t="s">
        <v>29</v>
      </c>
      <c r="J74" s="353">
        <v>309</v>
      </c>
      <c r="K74" s="460" t="s">
        <v>370</v>
      </c>
      <c r="L74" s="353" t="s">
        <v>40</v>
      </c>
      <c r="M74" s="153">
        <v>1</v>
      </c>
      <c r="N74" s="353" t="s">
        <v>369</v>
      </c>
      <c r="O74" s="283"/>
      <c r="P74" s="338"/>
      <c r="Q74" s="338"/>
      <c r="R74" s="459">
        <v>5354420</v>
      </c>
      <c r="S74" s="338"/>
      <c r="T74" s="338"/>
      <c r="U74" s="337"/>
      <c r="V74" s="75"/>
      <c r="W74" s="74">
        <f t="shared" si="13"/>
        <v>5354420</v>
      </c>
      <c r="X74" s="327"/>
      <c r="Y74" s="137">
        <v>5354420</v>
      </c>
      <c r="Z74" s="88">
        <f t="shared" si="0"/>
        <v>5354420</v>
      </c>
      <c r="AA74" s="87">
        <v>41540</v>
      </c>
      <c r="AB74" s="50">
        <v>112</v>
      </c>
      <c r="AC74" s="50" t="s">
        <v>366</v>
      </c>
      <c r="AD74" s="431"/>
      <c r="AE74" s="50"/>
      <c r="AF74" s="50"/>
      <c r="AG74" s="49"/>
      <c r="AH74" s="3">
        <f>+AI74/Z74</f>
        <v>0</v>
      </c>
      <c r="AI74" s="2">
        <v>0</v>
      </c>
      <c r="AO74" s="440"/>
    </row>
    <row r="75" spans="2:43" ht="82.5" customHeight="1" x14ac:dyDescent="0.25">
      <c r="B75" s="1037"/>
      <c r="C75" s="1054"/>
      <c r="D75" s="1013"/>
      <c r="E75" s="1013"/>
      <c r="F75" s="1042"/>
      <c r="G75" s="439"/>
      <c r="H75" s="1021"/>
      <c r="I75" s="153"/>
      <c r="J75" s="353"/>
      <c r="K75" s="359" t="s">
        <v>368</v>
      </c>
      <c r="L75" s="359"/>
      <c r="M75" s="410"/>
      <c r="N75" s="359"/>
      <c r="O75" s="357"/>
      <c r="P75" s="357"/>
      <c r="Q75" s="357"/>
      <c r="R75" s="458">
        <f>9394664-5354420</f>
        <v>4040244</v>
      </c>
      <c r="S75" s="357"/>
      <c r="T75" s="357"/>
      <c r="U75" s="450"/>
      <c r="V75" s="450"/>
      <c r="W75" s="443">
        <f t="shared" si="13"/>
        <v>4040244</v>
      </c>
      <c r="X75" s="327"/>
      <c r="Y75" s="133"/>
      <c r="Z75" s="88">
        <f t="shared" si="0"/>
        <v>0</v>
      </c>
      <c r="AA75" s="50"/>
      <c r="AB75" s="50"/>
      <c r="AC75" s="50"/>
      <c r="AD75" s="431"/>
      <c r="AE75" s="50"/>
      <c r="AF75" s="50"/>
      <c r="AG75" s="49"/>
      <c r="AO75" s="440"/>
    </row>
    <row r="76" spans="2:43" ht="41.25" customHeight="1" x14ac:dyDescent="0.25">
      <c r="B76" s="1037"/>
      <c r="C76" s="1054"/>
      <c r="D76" s="1013"/>
      <c r="E76" s="1013"/>
      <c r="F76" s="1042"/>
      <c r="G76" s="439"/>
      <c r="H76" s="1021"/>
      <c r="I76" s="153" t="s">
        <v>29</v>
      </c>
      <c r="J76" s="353">
        <v>300</v>
      </c>
      <c r="K76" s="434" t="s">
        <v>367</v>
      </c>
      <c r="L76" s="353" t="s">
        <v>359</v>
      </c>
      <c r="M76" s="153">
        <v>1</v>
      </c>
      <c r="N76" s="95" t="s">
        <v>35</v>
      </c>
      <c r="O76" s="283"/>
      <c r="P76" s="338"/>
      <c r="Q76" s="338"/>
      <c r="R76" s="432">
        <v>3980000</v>
      </c>
      <c r="S76" s="338"/>
      <c r="T76" s="338"/>
      <c r="U76" s="337"/>
      <c r="V76" s="337"/>
      <c r="W76" s="74">
        <f t="shared" si="13"/>
        <v>3980000</v>
      </c>
      <c r="X76" s="327"/>
      <c r="Y76" s="137">
        <v>3980000</v>
      </c>
      <c r="Z76" s="88">
        <f t="shared" si="0"/>
        <v>3980000</v>
      </c>
      <c r="AA76" s="87">
        <v>41540</v>
      </c>
      <c r="AB76" s="50">
        <v>112</v>
      </c>
      <c r="AC76" s="50" t="s">
        <v>366</v>
      </c>
      <c r="AD76" s="431"/>
      <c r="AE76" s="50"/>
      <c r="AF76" s="50"/>
      <c r="AG76" s="49"/>
      <c r="AH76" s="3">
        <f>+AI76/Z76</f>
        <v>0</v>
      </c>
      <c r="AI76" s="2">
        <v>0</v>
      </c>
      <c r="AO76" s="440"/>
    </row>
    <row r="77" spans="2:43" ht="82.5" customHeight="1" x14ac:dyDescent="0.25">
      <c r="B77" s="1037"/>
      <c r="C77" s="1054"/>
      <c r="D77" s="1013"/>
      <c r="E77" s="1013"/>
      <c r="F77" s="1042"/>
      <c r="G77" s="439"/>
      <c r="H77" s="439"/>
      <c r="I77" s="153"/>
      <c r="J77" s="353"/>
      <c r="K77" s="452" t="s">
        <v>365</v>
      </c>
      <c r="L77" s="359"/>
      <c r="M77" s="410"/>
      <c r="N77" s="410"/>
      <c r="O77" s="357"/>
      <c r="P77" s="357"/>
      <c r="Q77" s="357"/>
      <c r="R77" s="451">
        <f>3993333-3980000</f>
        <v>13333</v>
      </c>
      <c r="S77" s="357"/>
      <c r="T77" s="357"/>
      <c r="U77" s="450"/>
      <c r="V77" s="450"/>
      <c r="W77" s="443">
        <f t="shared" si="13"/>
        <v>13333</v>
      </c>
      <c r="X77" s="327"/>
      <c r="Y77" s="137"/>
      <c r="Z77" s="88">
        <f t="shared" si="0"/>
        <v>0</v>
      </c>
      <c r="AA77" s="87"/>
      <c r="AB77" s="50"/>
      <c r="AC77" s="50"/>
      <c r="AD77" s="431"/>
      <c r="AE77" s="50"/>
      <c r="AF77" s="50"/>
      <c r="AG77" s="49"/>
      <c r="AO77" s="440"/>
    </row>
    <row r="78" spans="2:43" ht="89.25" customHeight="1" x14ac:dyDescent="0.25">
      <c r="B78" s="1037"/>
      <c r="C78" s="1054"/>
      <c r="D78" s="1013"/>
      <c r="E78" s="1013"/>
      <c r="F78" s="1042"/>
      <c r="G78" s="439"/>
      <c r="H78" s="439"/>
      <c r="I78" s="153" t="s">
        <v>29</v>
      </c>
      <c r="J78" s="353">
        <v>302</v>
      </c>
      <c r="K78" s="434" t="s">
        <v>364</v>
      </c>
      <c r="L78" s="353" t="s">
        <v>359</v>
      </c>
      <c r="M78" s="153">
        <v>1</v>
      </c>
      <c r="N78" s="212" t="s">
        <v>35</v>
      </c>
      <c r="O78" s="283"/>
      <c r="P78" s="338"/>
      <c r="Q78" s="338"/>
      <c r="R78" s="457">
        <v>494768</v>
      </c>
      <c r="S78" s="338"/>
      <c r="T78" s="338"/>
      <c r="U78" s="337"/>
      <c r="V78" s="75"/>
      <c r="W78" s="74">
        <f t="shared" si="13"/>
        <v>494768</v>
      </c>
      <c r="X78" s="327"/>
      <c r="Y78" s="137">
        <v>494768</v>
      </c>
      <c r="Z78" s="88">
        <f t="shared" si="0"/>
        <v>494768</v>
      </c>
      <c r="AA78" s="87">
        <v>41534</v>
      </c>
      <c r="AB78" s="50">
        <v>106</v>
      </c>
      <c r="AC78" s="50" t="s">
        <v>363</v>
      </c>
      <c r="AD78" s="431"/>
      <c r="AE78" s="50"/>
      <c r="AF78" s="50"/>
      <c r="AG78" s="49"/>
      <c r="AH78" s="456">
        <f>+AI78/Z78</f>
        <v>8.5777071273809131</v>
      </c>
      <c r="AI78" s="455">
        <v>4243975</v>
      </c>
      <c r="AJ78" s="1" t="s">
        <v>362</v>
      </c>
      <c r="AP78" s="440"/>
    </row>
    <row r="79" spans="2:43" ht="90.75" customHeight="1" x14ac:dyDescent="0.25">
      <c r="B79" s="1037"/>
      <c r="C79" s="1054"/>
      <c r="D79" s="1013"/>
      <c r="E79" s="1013"/>
      <c r="F79" s="1042"/>
      <c r="G79" s="169"/>
      <c r="H79" s="439"/>
      <c r="I79" s="153"/>
      <c r="J79" s="353"/>
      <c r="K79" s="452" t="s">
        <v>361</v>
      </c>
      <c r="L79" s="359"/>
      <c r="M79" s="410"/>
      <c r="N79" s="410"/>
      <c r="O79" s="357"/>
      <c r="P79" s="357"/>
      <c r="Q79" s="357"/>
      <c r="R79" s="451">
        <v>277224</v>
      </c>
      <c r="S79" s="357"/>
      <c r="T79" s="357"/>
      <c r="U79" s="450"/>
      <c r="V79" s="450"/>
      <c r="W79" s="443">
        <v>277224</v>
      </c>
      <c r="X79" s="327"/>
      <c r="Y79" s="137"/>
      <c r="Z79" s="88">
        <f t="shared" si="0"/>
        <v>0</v>
      </c>
      <c r="AA79" s="50"/>
      <c r="AB79" s="50"/>
      <c r="AC79" s="50"/>
      <c r="AD79" s="431"/>
      <c r="AE79" s="50"/>
      <c r="AF79" s="50"/>
      <c r="AG79" s="49"/>
      <c r="AP79" s="440"/>
    </row>
    <row r="80" spans="2:43" ht="51.75" customHeight="1" x14ac:dyDescent="0.25">
      <c r="B80" s="1037" t="str">
        <f t="shared" ref="B80:G80" si="14">+B61</f>
        <v>Proyecto No. 702 : Investigación e innovación para la construcción de conocimiento educativo y pedagógico.</v>
      </c>
      <c r="C80" s="1054" t="str">
        <f t="shared" si="14"/>
        <v>ESCUELA, CURRICULO Y PEDAOGÍA</v>
      </c>
      <c r="D80" s="1013" t="str">
        <f t="shared" si="14"/>
        <v>Desarrollar 23 estudios 
en Escuela, currículo y pedagogía</v>
      </c>
      <c r="E80" s="1013" t="str">
        <f t="shared" si="14"/>
        <v>Desarrollar 7 estudios en Escuela Curriculo y Pedagogía en el año 2013 y terminar el 0,80% del estudio del año 2012.</v>
      </c>
      <c r="F80" s="1042" t="str">
        <f t="shared" si="14"/>
        <v>Porcentaje de avance de los Estudios desarrollados en Escuela, currículo y pedagogía.</v>
      </c>
      <c r="G80" s="1021" t="str">
        <f t="shared" si="14"/>
        <v>Proyecto de ciencia y tecnología en la localidad de Usaquen  Convenio 2570 del 2012 (actividad del año 2012</v>
      </c>
      <c r="H80" s="439"/>
      <c r="I80" s="353"/>
      <c r="J80" s="353">
        <v>301</v>
      </c>
      <c r="K80" s="434" t="s">
        <v>360</v>
      </c>
      <c r="L80" s="353" t="s">
        <v>359</v>
      </c>
      <c r="M80" s="153">
        <v>1</v>
      </c>
      <c r="N80" s="95" t="s">
        <v>35</v>
      </c>
      <c r="O80" s="283"/>
      <c r="P80" s="338"/>
      <c r="Q80" s="338"/>
      <c r="R80" s="432">
        <v>10020312</v>
      </c>
      <c r="S80" s="338"/>
      <c r="T80" s="338"/>
      <c r="U80" s="337"/>
      <c r="V80" s="337"/>
      <c r="W80" s="74">
        <f t="shared" ref="W80:W89" si="15">+O80+R80</f>
        <v>10020312</v>
      </c>
      <c r="X80" s="327"/>
      <c r="Y80" s="137">
        <v>10020312</v>
      </c>
      <c r="Z80" s="88">
        <f t="shared" si="0"/>
        <v>10020312</v>
      </c>
      <c r="AA80" s="454">
        <v>41500</v>
      </c>
      <c r="AB80" s="453">
        <v>82</v>
      </c>
      <c r="AC80" s="453" t="s">
        <v>358</v>
      </c>
      <c r="AD80" s="441"/>
      <c r="AE80" s="50"/>
      <c r="AF80" s="50"/>
      <c r="AG80" s="49"/>
      <c r="AH80" s="3">
        <f>+AI80/Z80</f>
        <v>0</v>
      </c>
      <c r="AI80" s="2">
        <v>0</v>
      </c>
      <c r="AO80" s="440"/>
    </row>
    <row r="81" spans="2:41" ht="63.75" x14ac:dyDescent="0.25">
      <c r="B81" s="1037"/>
      <c r="C81" s="1054"/>
      <c r="D81" s="1013"/>
      <c r="E81" s="1013"/>
      <c r="F81" s="1042"/>
      <c r="G81" s="1021"/>
      <c r="H81" s="439"/>
      <c r="I81" s="353"/>
      <c r="J81" s="353"/>
      <c r="K81" s="452" t="s">
        <v>357</v>
      </c>
      <c r="L81" s="359"/>
      <c r="M81" s="410"/>
      <c r="N81" s="410"/>
      <c r="O81" s="357"/>
      <c r="P81" s="357"/>
      <c r="Q81" s="357"/>
      <c r="R81" s="451">
        <f>12246505-10020312-69157</f>
        <v>2157036</v>
      </c>
      <c r="S81" s="357"/>
      <c r="T81" s="357"/>
      <c r="U81" s="450"/>
      <c r="V81" s="450"/>
      <c r="W81" s="443">
        <f t="shared" si="15"/>
        <v>2157036</v>
      </c>
      <c r="X81" s="327"/>
      <c r="Y81" s="137"/>
      <c r="Z81" s="88">
        <f t="shared" si="0"/>
        <v>0</v>
      </c>
      <c r="AA81" s="87"/>
      <c r="AB81" s="50"/>
      <c r="AC81" s="86"/>
      <c r="AD81" s="441"/>
      <c r="AE81" s="50"/>
      <c r="AF81" s="50"/>
      <c r="AG81" s="49"/>
      <c r="AO81" s="440"/>
    </row>
    <row r="82" spans="2:41" ht="63.75" x14ac:dyDescent="0.25">
      <c r="B82" s="1037"/>
      <c r="C82" s="1054"/>
      <c r="D82" s="1013"/>
      <c r="E82" s="1013"/>
      <c r="F82" s="1042"/>
      <c r="G82" s="1021"/>
      <c r="H82" s="439"/>
      <c r="I82" s="153" t="s">
        <v>29</v>
      </c>
      <c r="J82" s="353"/>
      <c r="K82" s="449" t="s">
        <v>356</v>
      </c>
      <c r="L82" s="446"/>
      <c r="M82" s="121"/>
      <c r="N82" s="199"/>
      <c r="O82" s="287"/>
      <c r="P82" s="314"/>
      <c r="Q82" s="314"/>
      <c r="R82" s="445">
        <v>2395556</v>
      </c>
      <c r="S82" s="314"/>
      <c r="T82" s="314"/>
      <c r="U82" s="313"/>
      <c r="V82" s="444"/>
      <c r="W82" s="312">
        <f t="shared" si="15"/>
        <v>2395556</v>
      </c>
      <c r="X82" s="327"/>
      <c r="Y82" s="448">
        <v>2208457</v>
      </c>
      <c r="Z82" s="88">
        <f t="shared" si="0"/>
        <v>2208457</v>
      </c>
      <c r="AA82" s="87">
        <v>41599</v>
      </c>
      <c r="AB82" s="50">
        <v>126</v>
      </c>
      <c r="AC82" s="86" t="s">
        <v>355</v>
      </c>
      <c r="AD82" s="441"/>
      <c r="AE82" s="50"/>
      <c r="AF82" s="50"/>
      <c r="AG82" s="49"/>
      <c r="AH82" s="3">
        <f>+AI82/Z82</f>
        <v>0</v>
      </c>
      <c r="AI82" s="2">
        <v>0</v>
      </c>
      <c r="AO82" s="440"/>
    </row>
    <row r="83" spans="2:41" ht="79.5" customHeight="1" x14ac:dyDescent="0.25">
      <c r="B83" s="1037"/>
      <c r="C83" s="1054"/>
      <c r="D83" s="1013"/>
      <c r="E83" s="1013"/>
      <c r="F83" s="1042"/>
      <c r="G83" s="1021"/>
      <c r="H83" s="439"/>
      <c r="I83" s="153"/>
      <c r="J83" s="353"/>
      <c r="K83" s="447" t="s">
        <v>354</v>
      </c>
      <c r="L83" s="446"/>
      <c r="M83" s="121"/>
      <c r="N83" s="199"/>
      <c r="O83" s="287"/>
      <c r="P83" s="314"/>
      <c r="Q83" s="314"/>
      <c r="R83" s="445">
        <v>187099</v>
      </c>
      <c r="S83" s="314"/>
      <c r="T83" s="314"/>
      <c r="U83" s="313"/>
      <c r="V83" s="444"/>
      <c r="W83" s="443">
        <f t="shared" si="15"/>
        <v>187099</v>
      </c>
      <c r="X83" s="327"/>
      <c r="Y83" s="442"/>
      <c r="Z83" s="88">
        <f t="shared" si="0"/>
        <v>0</v>
      </c>
      <c r="AA83" s="87"/>
      <c r="AB83" s="50"/>
      <c r="AC83" s="86"/>
      <c r="AD83" s="441"/>
      <c r="AE83" s="50"/>
      <c r="AF83" s="50"/>
      <c r="AG83" s="49"/>
      <c r="AO83" s="440"/>
    </row>
    <row r="84" spans="2:41" ht="66.75" customHeight="1" x14ac:dyDescent="0.25">
      <c r="B84" s="1037"/>
      <c r="C84" s="1054"/>
      <c r="D84" s="1013"/>
      <c r="E84" s="1013"/>
      <c r="F84" s="1042"/>
      <c r="G84" s="1021"/>
      <c r="H84" s="439"/>
      <c r="I84" s="353"/>
      <c r="J84" s="353">
        <v>297</v>
      </c>
      <c r="K84" s="434" t="s">
        <v>352</v>
      </c>
      <c r="L84" s="353" t="s">
        <v>151</v>
      </c>
      <c r="M84" s="153"/>
      <c r="N84" s="433" t="s">
        <v>349</v>
      </c>
      <c r="O84" s="283"/>
      <c r="P84" s="338"/>
      <c r="Q84" s="338"/>
      <c r="R84" s="432">
        <v>2499990</v>
      </c>
      <c r="S84" s="338"/>
      <c r="T84" s="338"/>
      <c r="U84" s="337"/>
      <c r="V84" s="75"/>
      <c r="W84" s="74">
        <f t="shared" si="15"/>
        <v>2499990</v>
      </c>
      <c r="X84" s="327"/>
      <c r="Y84" s="327">
        <v>2499990</v>
      </c>
      <c r="Z84" s="88">
        <f t="shared" si="0"/>
        <v>2499990</v>
      </c>
      <c r="AA84" s="87">
        <v>41494</v>
      </c>
      <c r="AB84" s="50">
        <v>79</v>
      </c>
      <c r="AC84" s="50" t="s">
        <v>353</v>
      </c>
      <c r="AD84" s="431"/>
      <c r="AE84" s="50"/>
      <c r="AF84" s="50"/>
      <c r="AG84" s="49"/>
      <c r="AH84" s="3">
        <f>+AI84/Z84</f>
        <v>0</v>
      </c>
      <c r="AI84" s="2">
        <v>0</v>
      </c>
      <c r="AO84" s="440"/>
    </row>
    <row r="85" spans="2:41" ht="26.25" customHeight="1" x14ac:dyDescent="0.25">
      <c r="B85" s="1037"/>
      <c r="C85" s="1054"/>
      <c r="D85" s="1013"/>
      <c r="E85" s="1013"/>
      <c r="F85" s="1042"/>
      <c r="G85" s="1021"/>
      <c r="H85" s="439"/>
      <c r="I85" s="353"/>
      <c r="J85" s="438"/>
      <c r="K85" s="434" t="s">
        <v>352</v>
      </c>
      <c r="L85" s="353"/>
      <c r="M85" s="153"/>
      <c r="N85" s="433"/>
      <c r="O85" s="283"/>
      <c r="P85" s="338"/>
      <c r="Q85" s="338"/>
      <c r="R85" s="432">
        <f>2513333-2499990-13343</f>
        <v>0</v>
      </c>
      <c r="S85" s="338"/>
      <c r="T85" s="338"/>
      <c r="U85" s="337"/>
      <c r="V85" s="75"/>
      <c r="W85" s="74">
        <f t="shared" si="15"/>
        <v>0</v>
      </c>
      <c r="X85" s="327"/>
      <c r="Y85" s="133"/>
      <c r="Z85" s="88">
        <f t="shared" si="0"/>
        <v>0</v>
      </c>
      <c r="AA85" s="87"/>
      <c r="AB85" s="50"/>
      <c r="AC85" s="50"/>
      <c r="AD85" s="431"/>
      <c r="AE85" s="50"/>
      <c r="AF85" s="50"/>
      <c r="AG85" s="49"/>
      <c r="AO85" s="440"/>
    </row>
    <row r="86" spans="2:41" ht="50.25" customHeight="1" x14ac:dyDescent="0.25">
      <c r="B86" s="1037"/>
      <c r="C86" s="1054"/>
      <c r="D86" s="1013"/>
      <c r="E86" s="1013"/>
      <c r="F86" s="1042"/>
      <c r="G86" s="1021"/>
      <c r="H86" s="439"/>
      <c r="I86" s="353"/>
      <c r="J86" s="353">
        <v>299</v>
      </c>
      <c r="K86" s="434" t="s">
        <v>350</v>
      </c>
      <c r="L86" s="353" t="s">
        <v>151</v>
      </c>
      <c r="M86" s="153"/>
      <c r="N86" s="433" t="s">
        <v>349</v>
      </c>
      <c r="O86" s="283"/>
      <c r="P86" s="338"/>
      <c r="Q86" s="338"/>
      <c r="R86" s="432">
        <v>5138800</v>
      </c>
      <c r="S86" s="338"/>
      <c r="T86" s="338"/>
      <c r="U86" s="337"/>
      <c r="V86" s="75"/>
      <c r="W86" s="74">
        <f t="shared" si="15"/>
        <v>5138800</v>
      </c>
      <c r="X86" s="327"/>
      <c r="Y86" s="327">
        <v>5138800</v>
      </c>
      <c r="Z86" s="88">
        <f t="shared" ref="Z86:Z149" si="16">+X86+Y86</f>
        <v>5138800</v>
      </c>
      <c r="AA86" s="87">
        <v>41494</v>
      </c>
      <c r="AB86" s="50">
        <v>78</v>
      </c>
      <c r="AC86" s="50" t="s">
        <v>351</v>
      </c>
      <c r="AD86" s="431"/>
      <c r="AE86" s="50"/>
      <c r="AF86" s="50"/>
      <c r="AG86" s="49"/>
      <c r="AH86" s="3">
        <f>+AI86/Z86</f>
        <v>0</v>
      </c>
      <c r="AI86" s="2">
        <v>0</v>
      </c>
    </row>
    <row r="87" spans="2:41" ht="48" customHeight="1" x14ac:dyDescent="0.25">
      <c r="B87" s="1037"/>
      <c r="C87" s="1054"/>
      <c r="D87" s="1013"/>
      <c r="E87" s="1013"/>
      <c r="F87" s="1042"/>
      <c r="G87" s="1021"/>
      <c r="H87" s="439"/>
      <c r="I87" s="353"/>
      <c r="J87" s="438"/>
      <c r="K87" s="434" t="s">
        <v>350</v>
      </c>
      <c r="L87" s="353"/>
      <c r="M87" s="153"/>
      <c r="N87" s="433"/>
      <c r="O87" s="283"/>
      <c r="P87" s="338"/>
      <c r="Q87" s="338"/>
      <c r="R87" s="432">
        <f>92200-92200</f>
        <v>0</v>
      </c>
      <c r="S87" s="338"/>
      <c r="T87" s="338"/>
      <c r="U87" s="337"/>
      <c r="V87" s="75"/>
      <c r="W87" s="74">
        <f t="shared" si="15"/>
        <v>0</v>
      </c>
      <c r="X87" s="327"/>
      <c r="Y87" s="327"/>
      <c r="Z87" s="88">
        <f t="shared" si="16"/>
        <v>0</v>
      </c>
      <c r="AA87" s="87"/>
      <c r="AB87" s="50"/>
      <c r="AC87" s="50"/>
      <c r="AD87" s="431"/>
      <c r="AE87" s="50"/>
      <c r="AF87" s="50"/>
      <c r="AG87" s="49"/>
    </row>
    <row r="88" spans="2:41" ht="54" customHeight="1" x14ac:dyDescent="0.25">
      <c r="B88" s="1037"/>
      <c r="C88" s="1054"/>
      <c r="D88" s="1013"/>
      <c r="E88" s="1013"/>
      <c r="F88" s="1042"/>
      <c r="G88" s="1021"/>
      <c r="H88" s="437"/>
      <c r="I88" s="353"/>
      <c r="J88" s="353">
        <v>298</v>
      </c>
      <c r="K88" s="434" t="s">
        <v>347</v>
      </c>
      <c r="L88" s="353" t="s">
        <v>151</v>
      </c>
      <c r="M88" s="153"/>
      <c r="N88" s="433" t="s">
        <v>349</v>
      </c>
      <c r="O88" s="436"/>
      <c r="P88" s="338"/>
      <c r="Q88" s="338"/>
      <c r="R88" s="432">
        <v>3825010</v>
      </c>
      <c r="S88" s="338"/>
      <c r="T88" s="338"/>
      <c r="U88" s="337"/>
      <c r="V88" s="75"/>
      <c r="W88" s="74">
        <f t="shared" si="15"/>
        <v>3825010</v>
      </c>
      <c r="X88" s="327"/>
      <c r="Y88" s="137">
        <v>3825010</v>
      </c>
      <c r="Z88" s="88">
        <f t="shared" si="16"/>
        <v>3825010</v>
      </c>
      <c r="AA88" s="87">
        <v>41488</v>
      </c>
      <c r="AB88" s="50">
        <v>74</v>
      </c>
      <c r="AC88" s="50" t="s">
        <v>348</v>
      </c>
      <c r="AD88" s="431"/>
      <c r="AE88" s="291"/>
      <c r="AF88" s="50"/>
      <c r="AG88" s="49"/>
      <c r="AH88" s="3">
        <f>+AI88/Z88</f>
        <v>0</v>
      </c>
      <c r="AI88" s="2">
        <v>0</v>
      </c>
    </row>
    <row r="89" spans="2:41" ht="0.75" customHeight="1" x14ac:dyDescent="0.25">
      <c r="B89" s="1037"/>
      <c r="C89" s="1054"/>
      <c r="D89" s="1013"/>
      <c r="E89" s="1013"/>
      <c r="F89" s="1042"/>
      <c r="G89" s="1022"/>
      <c r="H89" s="158"/>
      <c r="I89" s="153"/>
      <c r="J89" s="435"/>
      <c r="K89" s="434" t="s">
        <v>347</v>
      </c>
      <c r="L89" s="353"/>
      <c r="M89" s="153"/>
      <c r="N89" s="433"/>
      <c r="O89" s="338"/>
      <c r="P89" s="338"/>
      <c r="Q89" s="338"/>
      <c r="R89" s="432">
        <f>1369895-1369895</f>
        <v>0</v>
      </c>
      <c r="S89" s="338"/>
      <c r="T89" s="338"/>
      <c r="U89" s="337"/>
      <c r="V89" s="75"/>
      <c r="W89" s="74">
        <f t="shared" si="15"/>
        <v>0</v>
      </c>
      <c r="X89" s="327"/>
      <c r="Y89" s="137"/>
      <c r="Z89" s="88">
        <f t="shared" si="16"/>
        <v>0</v>
      </c>
      <c r="AA89" s="87"/>
      <c r="AB89" s="50"/>
      <c r="AC89" s="50"/>
      <c r="AD89" s="431"/>
      <c r="AE89" s="107"/>
      <c r="AF89" s="50"/>
      <c r="AG89" s="49"/>
      <c r="AH89" s="3" t="e">
        <f>+AI89/Z89</f>
        <v>#DIV/0!</v>
      </c>
    </row>
    <row r="90" spans="2:41" ht="24.75" customHeight="1" x14ac:dyDescent="0.25">
      <c r="B90" s="1037"/>
      <c r="C90" s="1054"/>
      <c r="D90" s="1013"/>
      <c r="E90" s="1013"/>
      <c r="F90" s="1042"/>
      <c r="G90" s="1019" t="s">
        <v>24</v>
      </c>
      <c r="H90" s="1019"/>
      <c r="I90" s="1019"/>
      <c r="J90" s="1019"/>
      <c r="K90" s="1019"/>
      <c r="L90" s="1019"/>
      <c r="M90" s="1019"/>
      <c r="N90" s="1019"/>
      <c r="O90" s="82">
        <f>+O61</f>
        <v>0</v>
      </c>
      <c r="P90" s="144" t="e">
        <f>SUM(#REF!)</f>
        <v>#REF!</v>
      </c>
      <c r="Q90" s="144" t="e">
        <f>+O90+P90</f>
        <v>#REF!</v>
      </c>
      <c r="R90" s="82">
        <f>SUM(R61:R89)</f>
        <v>185834432</v>
      </c>
      <c r="S90" s="82">
        <f>SUM(S61:S88)</f>
        <v>0</v>
      </c>
      <c r="T90" s="82">
        <f>SUM(T61:T88)</f>
        <v>0</v>
      </c>
      <c r="U90" s="82">
        <f>SUM(U61:U88)</f>
        <v>45564518</v>
      </c>
      <c r="V90" s="82">
        <f>SUM(V61:V88)</f>
        <v>45564518</v>
      </c>
      <c r="W90" s="82">
        <f>SUM(W61:W89)</f>
        <v>185834432</v>
      </c>
      <c r="X90" s="82">
        <f>SUM(X61:X88)</f>
        <v>0</v>
      </c>
      <c r="Y90" s="82">
        <f>SUM(Y61:Y89)</f>
        <v>164621436</v>
      </c>
      <c r="Z90" s="88">
        <f t="shared" si="16"/>
        <v>164621436</v>
      </c>
      <c r="AA90" s="277"/>
      <c r="AB90" s="78"/>
      <c r="AC90" s="78"/>
      <c r="AD90" s="79">
        <f>+Z90/W90</f>
        <v>0.88585002374586863</v>
      </c>
      <c r="AE90" s="78"/>
      <c r="AF90" s="430">
        <f>SUM(AF61:AF89)</f>
        <v>9770000</v>
      </c>
      <c r="AG90" s="429">
        <f>SUM(AG61:AG89)</f>
        <v>9555853</v>
      </c>
    </row>
    <row r="91" spans="2:41" ht="26.25" customHeight="1" x14ac:dyDescent="0.25">
      <c r="B91" s="1038"/>
      <c r="C91" s="1055"/>
      <c r="D91" s="1014"/>
      <c r="E91" s="1014"/>
      <c r="F91" s="1043"/>
      <c r="G91" s="1044" t="s">
        <v>346</v>
      </c>
      <c r="H91" s="1044"/>
      <c r="I91" s="1044"/>
      <c r="J91" s="1044"/>
      <c r="K91" s="1044"/>
      <c r="L91" s="427"/>
      <c r="M91" s="427"/>
      <c r="N91" s="427"/>
      <c r="O91" s="74">
        <f t="shared" ref="O91:Y91" si="17">+O23+O25+O28+O37+O43+O57+O60+O90</f>
        <v>1172634000</v>
      </c>
      <c r="P91" s="74" t="e">
        <f t="shared" si="17"/>
        <v>#REF!</v>
      </c>
      <c r="Q91" s="74" t="e">
        <f t="shared" si="17"/>
        <v>#REF!</v>
      </c>
      <c r="R91" s="74">
        <f t="shared" si="17"/>
        <v>288394932</v>
      </c>
      <c r="S91" s="74" t="e">
        <f t="shared" si="17"/>
        <v>#REF!</v>
      </c>
      <c r="T91" s="74">
        <f t="shared" si="17"/>
        <v>102560500</v>
      </c>
      <c r="U91" s="74" t="e">
        <f t="shared" si="17"/>
        <v>#REF!</v>
      </c>
      <c r="V91" s="74" t="e">
        <f t="shared" si="17"/>
        <v>#REF!</v>
      </c>
      <c r="W91" s="74">
        <f t="shared" si="17"/>
        <v>1461028932</v>
      </c>
      <c r="X91" s="74">
        <f t="shared" si="17"/>
        <v>1172634000</v>
      </c>
      <c r="Y91" s="74">
        <f t="shared" si="17"/>
        <v>267181936</v>
      </c>
      <c r="Z91" s="88">
        <f t="shared" si="16"/>
        <v>1439815936</v>
      </c>
      <c r="AA91" s="71"/>
      <c r="AB91" s="71"/>
      <c r="AC91" s="71"/>
      <c r="AD91" s="70">
        <f>+Z91/W91</f>
        <v>0.98548078307322662</v>
      </c>
      <c r="AE91" s="71"/>
      <c r="AF91" s="141">
        <f>+AF23+AF25+AF28+AF37+AF43+AF57+AF60+AF90</f>
        <v>112330500</v>
      </c>
      <c r="AG91" s="140">
        <f>+AG23+AG25+AG28+AG37+AG43+AG57+AG60+AG90</f>
        <v>112116353</v>
      </c>
    </row>
    <row r="92" spans="2:41" ht="25.5" x14ac:dyDescent="0.25">
      <c r="B92" s="1036" t="str">
        <f>+B61</f>
        <v>Proyecto No. 702 : Investigación e innovación para la construcción de conocimiento educativo y pedagógico.</v>
      </c>
      <c r="C92" s="1036" t="str">
        <f>+C61</f>
        <v>ESCUELA, CURRICULO Y PEDAOGÍA</v>
      </c>
      <c r="D92" s="1014" t="s">
        <v>345</v>
      </c>
      <c r="E92" s="1014" t="s">
        <v>344</v>
      </c>
      <c r="F92" s="1014" t="s">
        <v>343</v>
      </c>
      <c r="G92" s="1020" t="s">
        <v>342</v>
      </c>
      <c r="H92" s="1020" t="s">
        <v>341</v>
      </c>
      <c r="I92" s="153" t="s">
        <v>29</v>
      </c>
      <c r="J92" s="153">
        <v>207</v>
      </c>
      <c r="K92" s="246" t="s">
        <v>340</v>
      </c>
      <c r="L92" s="153" t="s">
        <v>332</v>
      </c>
      <c r="M92" s="153">
        <v>9</v>
      </c>
      <c r="N92" s="212" t="s">
        <v>56</v>
      </c>
      <c r="O92" s="283">
        <f>74277000-16566000</f>
        <v>57711000</v>
      </c>
      <c r="P92" s="338"/>
      <c r="Q92" s="338">
        <f>+O92+P92</f>
        <v>57711000</v>
      </c>
      <c r="R92" s="338"/>
      <c r="S92" s="338"/>
      <c r="T92" s="338"/>
      <c r="U92" s="338"/>
      <c r="V92" s="337">
        <f>+R92+U92</f>
        <v>0</v>
      </c>
      <c r="W92" s="74">
        <f>+Q92+V92</f>
        <v>57711000</v>
      </c>
      <c r="X92" s="327">
        <v>57711000</v>
      </c>
      <c r="Y92" s="50"/>
      <c r="Z92" s="88">
        <f t="shared" si="16"/>
        <v>57711000</v>
      </c>
      <c r="AA92" s="87">
        <v>41498</v>
      </c>
      <c r="AB92" s="50">
        <v>80</v>
      </c>
      <c r="AC92" s="50" t="s">
        <v>339</v>
      </c>
      <c r="AD92" s="103"/>
      <c r="AE92" s="50"/>
      <c r="AF92" s="50"/>
      <c r="AG92" s="49"/>
      <c r="AH92" s="3">
        <f>+AI92/Z92</f>
        <v>0.7</v>
      </c>
      <c r="AI92" s="2">
        <v>40397700</v>
      </c>
    </row>
    <row r="93" spans="2:41" ht="34.5" customHeight="1" x14ac:dyDescent="0.25">
      <c r="B93" s="1037"/>
      <c r="C93" s="1037"/>
      <c r="D93" s="1014"/>
      <c r="E93" s="1014"/>
      <c r="F93" s="1014"/>
      <c r="G93" s="1021"/>
      <c r="H93" s="1021"/>
      <c r="I93" s="153" t="s">
        <v>29</v>
      </c>
      <c r="J93" s="153">
        <v>293</v>
      </c>
      <c r="K93" s="246" t="s">
        <v>338</v>
      </c>
      <c r="L93" s="153" t="s">
        <v>151</v>
      </c>
      <c r="M93" s="153">
        <v>7</v>
      </c>
      <c r="N93" s="212" t="s">
        <v>56</v>
      </c>
      <c r="O93" s="283">
        <v>14737500</v>
      </c>
      <c r="P93" s="338"/>
      <c r="Q93" s="338"/>
      <c r="R93" s="283">
        <v>26527500</v>
      </c>
      <c r="S93" s="338"/>
      <c r="T93" s="338"/>
      <c r="U93" s="338"/>
      <c r="V93" s="337"/>
      <c r="W93" s="74">
        <f>+O93+R93</f>
        <v>41265000</v>
      </c>
      <c r="X93" s="327">
        <v>14737500</v>
      </c>
      <c r="Y93" s="2">
        <v>26527500</v>
      </c>
      <c r="Z93" s="88">
        <f t="shared" si="16"/>
        <v>41265000</v>
      </c>
      <c r="AA93" s="87">
        <v>41509</v>
      </c>
      <c r="AB93" s="50">
        <v>86</v>
      </c>
      <c r="AC93" s="50" t="s">
        <v>337</v>
      </c>
      <c r="AD93" s="103"/>
      <c r="AE93" s="286" t="s">
        <v>336</v>
      </c>
      <c r="AF93" s="107">
        <f>+R93</f>
        <v>26527500</v>
      </c>
      <c r="AG93" s="342">
        <f>+AF93</f>
        <v>26527500</v>
      </c>
      <c r="AH93" s="3">
        <f>+AI93/Z93</f>
        <v>1</v>
      </c>
      <c r="AI93" s="2">
        <v>41265000</v>
      </c>
    </row>
    <row r="94" spans="2:41" ht="38.25" x14ac:dyDescent="0.25">
      <c r="B94" s="1037"/>
      <c r="C94" s="1037"/>
      <c r="D94" s="1031"/>
      <c r="E94" s="1031"/>
      <c r="F94" s="1031"/>
      <c r="G94" s="1021"/>
      <c r="H94" s="1021"/>
      <c r="I94" s="153" t="s">
        <v>29</v>
      </c>
      <c r="J94" s="153">
        <v>215</v>
      </c>
      <c r="K94" s="246" t="s">
        <v>335</v>
      </c>
      <c r="L94" s="153" t="s">
        <v>332</v>
      </c>
      <c r="M94" s="153">
        <v>9</v>
      </c>
      <c r="N94" s="212" t="s">
        <v>56</v>
      </c>
      <c r="O94" s="283">
        <v>37138500</v>
      </c>
      <c r="P94" s="338"/>
      <c r="Q94" s="338">
        <f>+O94+P94</f>
        <v>37138500</v>
      </c>
      <c r="R94" s="338"/>
      <c r="S94" s="338"/>
      <c r="T94" s="338"/>
      <c r="U94" s="338"/>
      <c r="V94" s="337">
        <f>+R94+U94</f>
        <v>0</v>
      </c>
      <c r="W94" s="74">
        <f>+Q94+V94</f>
        <v>37138500</v>
      </c>
      <c r="X94" s="327">
        <v>37138500</v>
      </c>
      <c r="Y94" s="50"/>
      <c r="Z94" s="88">
        <f t="shared" si="16"/>
        <v>37138500</v>
      </c>
      <c r="AA94" s="87">
        <v>41400</v>
      </c>
      <c r="AB94" s="50">
        <v>51</v>
      </c>
      <c r="AC94" s="86" t="s">
        <v>334</v>
      </c>
      <c r="AD94" s="103"/>
      <c r="AE94" s="136"/>
      <c r="AF94" s="50"/>
      <c r="AG94" s="49"/>
      <c r="AH94" s="3">
        <f>+AI94/Z94</f>
        <v>0.33333333333333331</v>
      </c>
      <c r="AI94" s="2">
        <v>12379500</v>
      </c>
    </row>
    <row r="95" spans="2:41" ht="38.25" x14ac:dyDescent="0.25">
      <c r="B95" s="1037"/>
      <c r="C95" s="1037"/>
      <c r="D95" s="1031"/>
      <c r="E95" s="1031"/>
      <c r="F95" s="1031"/>
      <c r="G95" s="1022"/>
      <c r="H95" s="1022"/>
      <c r="I95" s="153" t="s">
        <v>29</v>
      </c>
      <c r="J95" s="153">
        <v>319</v>
      </c>
      <c r="K95" s="246" t="s">
        <v>333</v>
      </c>
      <c r="L95" s="153" t="s">
        <v>332</v>
      </c>
      <c r="M95" s="153">
        <v>9</v>
      </c>
      <c r="N95" s="212" t="s">
        <v>56</v>
      </c>
      <c r="O95" s="283">
        <f>8584500+1828500</f>
        <v>10413000</v>
      </c>
      <c r="P95" s="338"/>
      <c r="Q95" s="338">
        <f>+O95+P95</f>
        <v>10413000</v>
      </c>
      <c r="R95" s="338">
        <f>26527500-26527500</f>
        <v>0</v>
      </c>
      <c r="S95" s="338">
        <v>26527500</v>
      </c>
      <c r="T95" s="338">
        <v>26527500</v>
      </c>
      <c r="U95" s="338"/>
      <c r="V95" s="337">
        <f>+R95+U95</f>
        <v>0</v>
      </c>
      <c r="W95" s="74">
        <f>+Q95+V95</f>
        <v>10413000</v>
      </c>
      <c r="X95" s="327">
        <v>10413000</v>
      </c>
      <c r="Y95" s="50"/>
      <c r="Z95" s="88">
        <f t="shared" si="16"/>
        <v>10413000</v>
      </c>
      <c r="AA95" s="87">
        <v>41572</v>
      </c>
      <c r="AB95" s="50">
        <v>120</v>
      </c>
      <c r="AC95" s="50" t="s">
        <v>172</v>
      </c>
      <c r="AD95" s="103"/>
      <c r="AE95" s="50"/>
      <c r="AF95" s="50"/>
      <c r="AG95" s="49"/>
      <c r="AI95" s="271"/>
    </row>
    <row r="96" spans="2:41" ht="19.5" customHeight="1" x14ac:dyDescent="0.25">
      <c r="B96" s="1037"/>
      <c r="C96" s="1037"/>
      <c r="D96" s="1031"/>
      <c r="E96" s="1031"/>
      <c r="F96" s="1031"/>
      <c r="G96" s="1019" t="s">
        <v>24</v>
      </c>
      <c r="H96" s="1019"/>
      <c r="I96" s="1019"/>
      <c r="J96" s="1019"/>
      <c r="K96" s="1019"/>
      <c r="L96" s="1019"/>
      <c r="M96" s="1019"/>
      <c r="N96" s="1019"/>
      <c r="O96" s="82">
        <f>SUM(O92:O95)</f>
        <v>120000000</v>
      </c>
      <c r="P96" s="82">
        <f>+P92+P94+P95</f>
        <v>0</v>
      </c>
      <c r="Q96" s="82">
        <f>+Q92+Q94+Q95</f>
        <v>105262500</v>
      </c>
      <c r="R96" s="82">
        <f>SUM(R92:R95)</f>
        <v>26527500</v>
      </c>
      <c r="S96" s="82" t="e">
        <f>SUM(#REF!)</f>
        <v>#REF!</v>
      </c>
      <c r="T96" s="82">
        <f>+T95</f>
        <v>26527500</v>
      </c>
      <c r="U96" s="82" t="e">
        <f>SUM(#REF!)</f>
        <v>#REF!</v>
      </c>
      <c r="V96" s="428" t="e">
        <f>+R96+U96</f>
        <v>#REF!</v>
      </c>
      <c r="W96" s="82">
        <f>+O96+R96</f>
        <v>146527500</v>
      </c>
      <c r="X96" s="388">
        <f>SUM(X92:X95)</f>
        <v>120000000</v>
      </c>
      <c r="Y96" s="388">
        <f>SUM(Y92:Y95)</f>
        <v>26527500</v>
      </c>
      <c r="Z96" s="88">
        <f t="shared" si="16"/>
        <v>146527500</v>
      </c>
      <c r="AA96" s="82"/>
      <c r="AB96" s="82"/>
      <c r="AC96" s="82"/>
      <c r="AD96" s="79">
        <f>+Z96/W96</f>
        <v>1</v>
      </c>
      <c r="AE96" s="82"/>
      <c r="AF96" s="192">
        <f>SUM(AF92:AF95)</f>
        <v>26527500</v>
      </c>
      <c r="AG96" s="191">
        <f>SUM(AG92:AG95)</f>
        <v>26527500</v>
      </c>
    </row>
    <row r="97" spans="2:35" ht="24.75" customHeight="1" x14ac:dyDescent="0.25">
      <c r="B97" s="1037"/>
      <c r="C97" s="1038"/>
      <c r="D97" s="1031"/>
      <c r="E97" s="1031"/>
      <c r="F97" s="1031"/>
      <c r="G97" s="1044" t="s">
        <v>331</v>
      </c>
      <c r="H97" s="1044"/>
      <c r="I97" s="1044"/>
      <c r="J97" s="1044"/>
      <c r="K97" s="1044"/>
      <c r="L97" s="427"/>
      <c r="M97" s="427"/>
      <c r="N97" s="427"/>
      <c r="O97" s="74">
        <f>+O96</f>
        <v>120000000</v>
      </c>
      <c r="P97" s="74" t="e">
        <f>+#REF!</f>
        <v>#REF!</v>
      </c>
      <c r="Q97" s="74" t="e">
        <f>+O97+P97</f>
        <v>#REF!</v>
      </c>
      <c r="R97" s="74">
        <f>+R96</f>
        <v>26527500</v>
      </c>
      <c r="S97" s="74" t="e">
        <f>+S96</f>
        <v>#REF!</v>
      </c>
      <c r="T97" s="74">
        <f>+T96</f>
        <v>26527500</v>
      </c>
      <c r="U97" s="74" t="e">
        <f>+#REF!</f>
        <v>#REF!</v>
      </c>
      <c r="V97" s="75" t="e">
        <f>+R97+U97</f>
        <v>#REF!</v>
      </c>
      <c r="W97" s="74">
        <f>+O97+R97</f>
        <v>146527500</v>
      </c>
      <c r="X97" s="74">
        <f>+X96</f>
        <v>120000000</v>
      </c>
      <c r="Y97" s="74">
        <f>+Y96</f>
        <v>26527500</v>
      </c>
      <c r="Z97" s="88">
        <f t="shared" si="16"/>
        <v>146527500</v>
      </c>
      <c r="AA97" s="71"/>
      <c r="AB97" s="71"/>
      <c r="AC97" s="71"/>
      <c r="AD97" s="70">
        <f>+Z97/W97</f>
        <v>1</v>
      </c>
      <c r="AE97" s="74"/>
      <c r="AF97" s="74">
        <f>+AF96</f>
        <v>26527500</v>
      </c>
      <c r="AG97" s="332">
        <f>+AE97+AF97</f>
        <v>26527500</v>
      </c>
    </row>
    <row r="98" spans="2:35" ht="19.5" customHeight="1" x14ac:dyDescent="0.25">
      <c r="B98" s="1038"/>
      <c r="C98" s="1076" t="s">
        <v>330</v>
      </c>
      <c r="D98" s="1076"/>
      <c r="E98" s="1076"/>
      <c r="F98" s="1076"/>
      <c r="G98" s="1076"/>
      <c r="H98" s="1076"/>
      <c r="I98" s="1076"/>
      <c r="J98" s="1076"/>
      <c r="K98" s="1076"/>
      <c r="L98" s="426"/>
      <c r="M98" s="426"/>
      <c r="N98" s="426"/>
      <c r="O98" s="65">
        <f t="shared" ref="O98:Y98" si="18">+O91+O97</f>
        <v>1292634000</v>
      </c>
      <c r="P98" s="65" t="e">
        <f t="shared" si="18"/>
        <v>#REF!</v>
      </c>
      <c r="Q98" s="65" t="e">
        <f t="shared" si="18"/>
        <v>#REF!</v>
      </c>
      <c r="R98" s="65">
        <f t="shared" si="18"/>
        <v>314922432</v>
      </c>
      <c r="S98" s="65" t="e">
        <f t="shared" si="18"/>
        <v>#REF!</v>
      </c>
      <c r="T98" s="65">
        <f t="shared" si="18"/>
        <v>129088000</v>
      </c>
      <c r="U98" s="65" t="e">
        <f t="shared" si="18"/>
        <v>#REF!</v>
      </c>
      <c r="V98" s="65" t="e">
        <f t="shared" si="18"/>
        <v>#REF!</v>
      </c>
      <c r="W98" s="65">
        <f t="shared" si="18"/>
        <v>1607556432</v>
      </c>
      <c r="X98" s="65">
        <f t="shared" si="18"/>
        <v>1292634000</v>
      </c>
      <c r="Y98" s="65">
        <f t="shared" si="18"/>
        <v>293709436</v>
      </c>
      <c r="Z98" s="88">
        <f t="shared" si="16"/>
        <v>1586343436</v>
      </c>
      <c r="AA98" s="60"/>
      <c r="AB98" s="60"/>
      <c r="AC98" s="60"/>
      <c r="AD98" s="59">
        <f>+Z98/W98</f>
        <v>0.98680419823669374</v>
      </c>
      <c r="AE98" s="65">
        <f>+AE91+AE97</f>
        <v>0</v>
      </c>
      <c r="AF98" s="65">
        <f>+AF91+AF97</f>
        <v>138858000</v>
      </c>
      <c r="AG98" s="64">
        <f>+AG91+AG97</f>
        <v>138643853</v>
      </c>
    </row>
    <row r="99" spans="2:35" s="138" customFormat="1" ht="91.5" customHeight="1" x14ac:dyDescent="0.25">
      <c r="B99" s="1041" t="str">
        <f>+B92</f>
        <v>Proyecto No. 702 : Investigación e innovación para la construcción de conocimiento educativo y pedagógico.</v>
      </c>
      <c r="C99" s="1074" t="s">
        <v>329</v>
      </c>
      <c r="D99" s="1012" t="s">
        <v>328</v>
      </c>
      <c r="E99" s="1012" t="s">
        <v>327</v>
      </c>
      <c r="F99" s="1012" t="s">
        <v>326</v>
      </c>
      <c r="G99" s="223" t="s">
        <v>325</v>
      </c>
      <c r="H99" s="425" t="s">
        <v>295</v>
      </c>
      <c r="I99" s="425" t="s">
        <v>29</v>
      </c>
      <c r="J99" s="95">
        <v>72</v>
      </c>
      <c r="K99" s="264" t="s">
        <v>324</v>
      </c>
      <c r="L99" s="424" t="s">
        <v>122</v>
      </c>
      <c r="M99" s="95">
        <v>5</v>
      </c>
      <c r="N99" s="95" t="s">
        <v>323</v>
      </c>
      <c r="O99" s="94"/>
      <c r="P99" s="361"/>
      <c r="Q99" s="338">
        <f t="shared" ref="Q99:Q111" si="19">+O99+P99</f>
        <v>0</v>
      </c>
      <c r="R99" s="283">
        <v>90000000</v>
      </c>
      <c r="S99" s="361">
        <v>90000000</v>
      </c>
      <c r="T99" s="361">
        <v>90000000</v>
      </c>
      <c r="U99" s="361"/>
      <c r="V99" s="360">
        <f>+O99+R99</f>
        <v>90000000</v>
      </c>
      <c r="W99" s="338">
        <f>+Q99+V99</f>
        <v>90000000</v>
      </c>
      <c r="X99" s="232"/>
      <c r="Y99" s="148">
        <v>90000000</v>
      </c>
      <c r="Z99" s="88">
        <f t="shared" si="16"/>
        <v>90000000</v>
      </c>
      <c r="AA99" s="106">
        <v>41439</v>
      </c>
      <c r="AB99" s="105">
        <v>60</v>
      </c>
      <c r="AC99" s="104" t="s">
        <v>322</v>
      </c>
      <c r="AD99" s="85"/>
      <c r="AE99" s="376" t="s">
        <v>231</v>
      </c>
      <c r="AF99" s="368">
        <f>+R99</f>
        <v>90000000</v>
      </c>
      <c r="AG99" s="406">
        <f>+AF99</f>
        <v>90000000</v>
      </c>
      <c r="AH99" s="3">
        <f>+AI99/Z99</f>
        <v>0.3</v>
      </c>
      <c r="AI99" s="139">
        <v>27000000</v>
      </c>
    </row>
    <row r="100" spans="2:35" s="138" customFormat="1" ht="21.75" customHeight="1" x14ac:dyDescent="0.25">
      <c r="B100" s="1042"/>
      <c r="C100" s="1075"/>
      <c r="D100" s="1013"/>
      <c r="E100" s="1013"/>
      <c r="F100" s="1013"/>
      <c r="G100" s="1019" t="s">
        <v>24</v>
      </c>
      <c r="H100" s="1019"/>
      <c r="I100" s="1019"/>
      <c r="J100" s="1019"/>
      <c r="K100" s="1019"/>
      <c r="L100" s="1019"/>
      <c r="M100" s="1019"/>
      <c r="N100" s="1019"/>
      <c r="O100" s="82">
        <f>SUM(O99:O99)</f>
        <v>0</v>
      </c>
      <c r="P100" s="82"/>
      <c r="Q100" s="82">
        <f t="shared" si="19"/>
        <v>0</v>
      </c>
      <c r="R100" s="82">
        <f>SUM(R99:R99)</f>
        <v>90000000</v>
      </c>
      <c r="S100" s="82">
        <f>SUM(S99:S99)</f>
        <v>90000000</v>
      </c>
      <c r="T100" s="82">
        <f>SUM(T99:T99)</f>
        <v>90000000</v>
      </c>
      <c r="U100" s="82"/>
      <c r="V100" s="336">
        <f t="shared" ref="V100:V111" si="20">+R100+U100</f>
        <v>90000000</v>
      </c>
      <c r="W100" s="82">
        <f>+Q100+V100</f>
        <v>90000000</v>
      </c>
      <c r="X100" s="423">
        <f>+X99</f>
        <v>0</v>
      </c>
      <c r="Y100" s="81">
        <f>+Y99</f>
        <v>90000000</v>
      </c>
      <c r="Z100" s="88">
        <f t="shared" si="16"/>
        <v>90000000</v>
      </c>
      <c r="AA100" s="78"/>
      <c r="AB100" s="78"/>
      <c r="AC100" s="78"/>
      <c r="AD100" s="79">
        <f>+Z100/W100</f>
        <v>1</v>
      </c>
      <c r="AE100" s="78"/>
      <c r="AF100" s="404">
        <f>+AF99</f>
        <v>90000000</v>
      </c>
      <c r="AG100" s="403">
        <f>+AG99</f>
        <v>90000000</v>
      </c>
      <c r="AH100" s="3"/>
      <c r="AI100" s="139"/>
    </row>
    <row r="101" spans="2:35" s="138" customFormat="1" ht="48" customHeight="1" x14ac:dyDescent="0.25">
      <c r="B101" s="1042"/>
      <c r="C101" s="1075"/>
      <c r="D101" s="1013"/>
      <c r="E101" s="1013"/>
      <c r="F101" s="1013"/>
      <c r="G101" s="1029" t="s">
        <v>321</v>
      </c>
      <c r="H101" s="1029" t="s">
        <v>234</v>
      </c>
      <c r="I101" s="95" t="s">
        <v>29</v>
      </c>
      <c r="J101" s="95">
        <v>240</v>
      </c>
      <c r="K101" s="244" t="s">
        <v>320</v>
      </c>
      <c r="L101" s="295" t="s">
        <v>27</v>
      </c>
      <c r="M101" s="295"/>
      <c r="N101" s="95" t="s">
        <v>56</v>
      </c>
      <c r="O101" s="419">
        <v>82530000</v>
      </c>
      <c r="P101" s="413"/>
      <c r="Q101" s="413">
        <f t="shared" si="19"/>
        <v>82530000</v>
      </c>
      <c r="R101" s="304"/>
      <c r="S101" s="413"/>
      <c r="T101" s="413"/>
      <c r="U101" s="413"/>
      <c r="V101" s="370">
        <f t="shared" si="20"/>
        <v>0</v>
      </c>
      <c r="W101" s="417">
        <f t="shared" ref="W101:W114" si="21">+O101+R101</f>
        <v>82530000</v>
      </c>
      <c r="X101" s="232">
        <v>82530000</v>
      </c>
      <c r="Y101" s="368"/>
      <c r="Z101" s="88">
        <f t="shared" si="16"/>
        <v>82530000</v>
      </c>
      <c r="AA101" s="106">
        <v>41390</v>
      </c>
      <c r="AB101" s="105">
        <v>44</v>
      </c>
      <c r="AC101" s="104" t="s">
        <v>319</v>
      </c>
      <c r="AD101" s="147"/>
      <c r="AE101" s="105"/>
      <c r="AF101" s="105"/>
      <c r="AG101" s="146"/>
      <c r="AH101" s="3">
        <f t="shared" ref="AH101:AH107" si="22">+AI101/Z101</f>
        <v>0.25</v>
      </c>
      <c r="AI101" s="139">
        <v>20632500</v>
      </c>
    </row>
    <row r="102" spans="2:35" s="138" customFormat="1" ht="48.75" customHeight="1" x14ac:dyDescent="0.25">
      <c r="B102" s="1042"/>
      <c r="C102" s="1075"/>
      <c r="D102" s="1013"/>
      <c r="E102" s="1013"/>
      <c r="F102" s="1013"/>
      <c r="G102" s="1030"/>
      <c r="H102" s="1030"/>
      <c r="I102" s="95" t="s">
        <v>29</v>
      </c>
      <c r="J102" s="95">
        <v>241</v>
      </c>
      <c r="K102" s="244" t="s">
        <v>318</v>
      </c>
      <c r="L102" s="295" t="s">
        <v>27</v>
      </c>
      <c r="M102" s="295"/>
      <c r="N102" s="95" t="s">
        <v>56</v>
      </c>
      <c r="O102" s="419">
        <v>63666000</v>
      </c>
      <c r="P102" s="413"/>
      <c r="Q102" s="413">
        <f t="shared" si="19"/>
        <v>63666000</v>
      </c>
      <c r="R102" s="304"/>
      <c r="S102" s="413"/>
      <c r="T102" s="413"/>
      <c r="U102" s="413"/>
      <c r="V102" s="370">
        <f t="shared" si="20"/>
        <v>0</v>
      </c>
      <c r="W102" s="417">
        <f t="shared" si="21"/>
        <v>63666000</v>
      </c>
      <c r="X102" s="232">
        <v>63666000</v>
      </c>
      <c r="Y102" s="368"/>
      <c r="Z102" s="88">
        <f t="shared" si="16"/>
        <v>63666000</v>
      </c>
      <c r="AA102" s="106">
        <v>41390</v>
      </c>
      <c r="AB102" s="105">
        <v>49</v>
      </c>
      <c r="AC102" s="105" t="s">
        <v>317</v>
      </c>
      <c r="AD102" s="147"/>
      <c r="AE102" s="105"/>
      <c r="AF102" s="105"/>
      <c r="AG102" s="146"/>
      <c r="AH102" s="3">
        <f t="shared" si="22"/>
        <v>0.25</v>
      </c>
      <c r="AI102" s="139">
        <v>15916500</v>
      </c>
    </row>
    <row r="103" spans="2:35" s="138" customFormat="1" ht="32.25" customHeight="1" x14ac:dyDescent="0.25">
      <c r="B103" s="1042"/>
      <c r="C103" s="1075"/>
      <c r="D103" s="1013"/>
      <c r="E103" s="1013"/>
      <c r="F103" s="1013"/>
      <c r="G103" s="1030"/>
      <c r="H103" s="1030"/>
      <c r="I103" s="95" t="s">
        <v>29</v>
      </c>
      <c r="J103" s="95">
        <v>269</v>
      </c>
      <c r="K103" s="244" t="s">
        <v>18</v>
      </c>
      <c r="L103" s="295" t="s">
        <v>27</v>
      </c>
      <c r="M103" s="295">
        <v>7</v>
      </c>
      <c r="N103" s="95" t="s">
        <v>56</v>
      </c>
      <c r="O103" s="419">
        <f>53055000-11790000</f>
        <v>41265000</v>
      </c>
      <c r="P103" s="413"/>
      <c r="Q103" s="413">
        <f t="shared" si="19"/>
        <v>41265000</v>
      </c>
      <c r="R103" s="304"/>
      <c r="S103" s="413"/>
      <c r="T103" s="413"/>
      <c r="U103" s="413"/>
      <c r="V103" s="370">
        <f t="shared" si="20"/>
        <v>0</v>
      </c>
      <c r="W103" s="417">
        <f t="shared" si="21"/>
        <v>41265000</v>
      </c>
      <c r="X103" s="232">
        <v>41265000</v>
      </c>
      <c r="Y103" s="368"/>
      <c r="Z103" s="88">
        <f t="shared" si="16"/>
        <v>41265000</v>
      </c>
      <c r="AA103" s="106">
        <v>41470</v>
      </c>
      <c r="AB103" s="105">
        <v>67</v>
      </c>
      <c r="AC103" s="105" t="s">
        <v>316</v>
      </c>
      <c r="AD103" s="147"/>
      <c r="AE103" s="105"/>
      <c r="AF103" s="105"/>
      <c r="AG103" s="146"/>
      <c r="AH103" s="3">
        <f t="shared" si="22"/>
        <v>0.32500000000000001</v>
      </c>
      <c r="AI103" s="139">
        <v>13411125</v>
      </c>
    </row>
    <row r="104" spans="2:35" s="138" customFormat="1" ht="39" customHeight="1" x14ac:dyDescent="0.25">
      <c r="B104" s="1042"/>
      <c r="C104" s="1075"/>
      <c r="D104" s="1013"/>
      <c r="E104" s="1013"/>
      <c r="F104" s="1013"/>
      <c r="G104" s="1030"/>
      <c r="H104" s="1030"/>
      <c r="I104" s="95" t="s">
        <v>29</v>
      </c>
      <c r="J104" s="95">
        <v>243</v>
      </c>
      <c r="K104" s="244" t="s">
        <v>315</v>
      </c>
      <c r="L104" s="295" t="s">
        <v>27</v>
      </c>
      <c r="M104" s="295"/>
      <c r="N104" s="95" t="s">
        <v>56</v>
      </c>
      <c r="O104" s="419">
        <v>53055000</v>
      </c>
      <c r="P104" s="413"/>
      <c r="Q104" s="413">
        <f t="shared" si="19"/>
        <v>53055000</v>
      </c>
      <c r="R104" s="304"/>
      <c r="S104" s="413"/>
      <c r="T104" s="413"/>
      <c r="U104" s="413"/>
      <c r="V104" s="370">
        <f t="shared" si="20"/>
        <v>0</v>
      </c>
      <c r="W104" s="417">
        <f t="shared" si="21"/>
        <v>53055000</v>
      </c>
      <c r="X104" s="232">
        <v>53055000</v>
      </c>
      <c r="Y104" s="368"/>
      <c r="Z104" s="88">
        <f t="shared" si="16"/>
        <v>53055000</v>
      </c>
      <c r="AA104" s="106">
        <v>41390</v>
      </c>
      <c r="AB104" s="105">
        <v>47</v>
      </c>
      <c r="AC104" s="105" t="s">
        <v>314</v>
      </c>
      <c r="AD104" s="147"/>
      <c r="AE104" s="105"/>
      <c r="AF104" s="105"/>
      <c r="AG104" s="146"/>
      <c r="AH104" s="3">
        <f t="shared" si="22"/>
        <v>0.28000000000000003</v>
      </c>
      <c r="AI104" s="139">
        <v>14855400</v>
      </c>
    </row>
    <row r="105" spans="2:35" s="138" customFormat="1" ht="31.5" customHeight="1" x14ac:dyDescent="0.25">
      <c r="B105" s="1042"/>
      <c r="C105" s="1075"/>
      <c r="D105" s="1013"/>
      <c r="E105" s="1013"/>
      <c r="F105" s="1013"/>
      <c r="G105" s="1030"/>
      <c r="H105" s="1030"/>
      <c r="I105" s="95" t="s">
        <v>29</v>
      </c>
      <c r="J105" s="95">
        <v>244</v>
      </c>
      <c r="K105" s="244" t="s">
        <v>313</v>
      </c>
      <c r="L105" s="295" t="s">
        <v>27</v>
      </c>
      <c r="M105" s="295"/>
      <c r="N105" s="95" t="s">
        <v>56</v>
      </c>
      <c r="O105" s="419">
        <v>53055000</v>
      </c>
      <c r="P105" s="413"/>
      <c r="Q105" s="413">
        <f t="shared" si="19"/>
        <v>53055000</v>
      </c>
      <c r="R105" s="304"/>
      <c r="S105" s="413"/>
      <c r="T105" s="413"/>
      <c r="U105" s="413"/>
      <c r="V105" s="370">
        <f t="shared" si="20"/>
        <v>0</v>
      </c>
      <c r="W105" s="417">
        <f t="shared" si="21"/>
        <v>53055000</v>
      </c>
      <c r="X105" s="232">
        <v>53055000</v>
      </c>
      <c r="Y105" s="368"/>
      <c r="Z105" s="88">
        <f t="shared" si="16"/>
        <v>53055000</v>
      </c>
      <c r="AA105" s="106">
        <v>41390</v>
      </c>
      <c r="AB105" s="105">
        <v>48</v>
      </c>
      <c r="AC105" s="104" t="s">
        <v>312</v>
      </c>
      <c r="AD105" s="147"/>
      <c r="AE105" s="105"/>
      <c r="AF105" s="105"/>
      <c r="AG105" s="146"/>
      <c r="AH105" s="3">
        <f t="shared" si="22"/>
        <v>0.1</v>
      </c>
      <c r="AI105" s="139">
        <v>5305500</v>
      </c>
    </row>
    <row r="106" spans="2:35" s="138" customFormat="1" ht="48.75" customHeight="1" x14ac:dyDescent="0.25">
      <c r="B106" s="1042"/>
      <c r="C106" s="1075"/>
      <c r="D106" s="1013"/>
      <c r="E106" s="1013"/>
      <c r="F106" s="1013"/>
      <c r="G106" s="1030"/>
      <c r="H106" s="1030"/>
      <c r="I106" s="95" t="s">
        <v>29</v>
      </c>
      <c r="J106" s="95">
        <v>245</v>
      </c>
      <c r="K106" s="264" t="s">
        <v>311</v>
      </c>
      <c r="L106" s="295" t="s">
        <v>27</v>
      </c>
      <c r="M106" s="295">
        <v>6</v>
      </c>
      <c r="N106" s="95" t="s">
        <v>56</v>
      </c>
      <c r="O106" s="419">
        <f>37728000-9432000</f>
        <v>28296000</v>
      </c>
      <c r="P106" s="413"/>
      <c r="Q106" s="413">
        <f t="shared" si="19"/>
        <v>28296000</v>
      </c>
      <c r="R106" s="304"/>
      <c r="S106" s="413"/>
      <c r="T106" s="413"/>
      <c r="U106" s="413"/>
      <c r="V106" s="370">
        <f t="shared" si="20"/>
        <v>0</v>
      </c>
      <c r="W106" s="417">
        <f t="shared" si="21"/>
        <v>28296000</v>
      </c>
      <c r="X106" s="232">
        <v>28296000</v>
      </c>
      <c r="Y106" s="368"/>
      <c r="Z106" s="88">
        <f t="shared" si="16"/>
        <v>28296000</v>
      </c>
      <c r="AA106" s="106">
        <v>41478</v>
      </c>
      <c r="AB106" s="105">
        <v>70</v>
      </c>
      <c r="AC106" s="105" t="s">
        <v>310</v>
      </c>
      <c r="AD106" s="147"/>
      <c r="AE106" s="105"/>
      <c r="AF106" s="105"/>
      <c r="AG106" s="146"/>
      <c r="AH106" s="3">
        <f t="shared" si="22"/>
        <v>0.55000000000000004</v>
      </c>
      <c r="AI106" s="139">
        <v>15562800</v>
      </c>
    </row>
    <row r="107" spans="2:35" s="138" customFormat="1" ht="63" customHeight="1" x14ac:dyDescent="0.25">
      <c r="B107" s="1042"/>
      <c r="C107" s="1075"/>
      <c r="D107" s="1013"/>
      <c r="E107" s="1013"/>
      <c r="F107" s="1013"/>
      <c r="G107" s="1030"/>
      <c r="H107" s="1030"/>
      <c r="I107" s="95" t="s">
        <v>29</v>
      </c>
      <c r="J107" s="95">
        <v>246</v>
      </c>
      <c r="K107" s="264" t="s">
        <v>309</v>
      </c>
      <c r="L107" s="295" t="s">
        <v>27</v>
      </c>
      <c r="M107" s="295">
        <v>6</v>
      </c>
      <c r="N107" s="95" t="s">
        <v>56</v>
      </c>
      <c r="O107" s="419">
        <f>37728000-9432000</f>
        <v>28296000</v>
      </c>
      <c r="P107" s="413"/>
      <c r="Q107" s="413">
        <f t="shared" si="19"/>
        <v>28296000</v>
      </c>
      <c r="R107" s="304"/>
      <c r="S107" s="413"/>
      <c r="T107" s="413"/>
      <c r="U107" s="413"/>
      <c r="V107" s="370">
        <f t="shared" si="20"/>
        <v>0</v>
      </c>
      <c r="W107" s="417">
        <f t="shared" si="21"/>
        <v>28296000</v>
      </c>
      <c r="X107" s="232">
        <v>28296000</v>
      </c>
      <c r="Y107" s="368"/>
      <c r="Z107" s="88">
        <f t="shared" si="16"/>
        <v>28296000</v>
      </c>
      <c r="AA107" s="106">
        <v>41479</v>
      </c>
      <c r="AB107" s="105">
        <v>71</v>
      </c>
      <c r="AC107" s="105" t="s">
        <v>308</v>
      </c>
      <c r="AD107" s="147"/>
      <c r="AE107" s="105"/>
      <c r="AF107" s="105"/>
      <c r="AG107" s="146"/>
      <c r="AH107" s="3">
        <f t="shared" si="22"/>
        <v>0.55000000000000004</v>
      </c>
      <c r="AI107" s="139">
        <v>15562800</v>
      </c>
    </row>
    <row r="108" spans="2:35" s="138" customFormat="1" ht="38.25" x14ac:dyDescent="0.25">
      <c r="B108" s="1042"/>
      <c r="C108" s="1075"/>
      <c r="D108" s="1013"/>
      <c r="E108" s="1013"/>
      <c r="F108" s="1013"/>
      <c r="G108" s="1030"/>
      <c r="H108" s="1030"/>
      <c r="I108" s="95"/>
      <c r="J108" s="95"/>
      <c r="K108" s="264" t="s">
        <v>307</v>
      </c>
      <c r="L108" s="295" t="s">
        <v>27</v>
      </c>
      <c r="M108" s="295"/>
      <c r="N108" s="95" t="s">
        <v>56</v>
      </c>
      <c r="O108" s="419">
        <f>300000000-300000000</f>
        <v>0</v>
      </c>
      <c r="P108" s="413"/>
      <c r="Q108" s="413">
        <f t="shared" si="19"/>
        <v>0</v>
      </c>
      <c r="R108" s="304"/>
      <c r="S108" s="413"/>
      <c r="T108" s="413"/>
      <c r="U108" s="413"/>
      <c r="V108" s="370">
        <f t="shared" si="20"/>
        <v>0</v>
      </c>
      <c r="W108" s="417">
        <f t="shared" si="21"/>
        <v>0</v>
      </c>
      <c r="X108" s="232"/>
      <c r="Y108" s="368"/>
      <c r="Z108" s="88">
        <f t="shared" si="16"/>
        <v>0</v>
      </c>
      <c r="AA108" s="105"/>
      <c r="AB108" s="105"/>
      <c r="AC108" s="105"/>
      <c r="AD108" s="147"/>
      <c r="AE108" s="105"/>
      <c r="AF108" s="105"/>
      <c r="AG108" s="146"/>
      <c r="AH108" s="3"/>
      <c r="AI108" s="139"/>
    </row>
    <row r="109" spans="2:35" s="138" customFormat="1" ht="38.25" x14ac:dyDescent="0.25">
      <c r="B109" s="1042"/>
      <c r="C109" s="1075"/>
      <c r="D109" s="1013"/>
      <c r="E109" s="1013"/>
      <c r="F109" s="1013"/>
      <c r="G109" s="1030"/>
      <c r="H109" s="1030"/>
      <c r="I109" s="95"/>
      <c r="J109" s="95"/>
      <c r="K109" s="244" t="s">
        <v>306</v>
      </c>
      <c r="L109" s="295" t="s">
        <v>27</v>
      </c>
      <c r="M109" s="295"/>
      <c r="N109" s="95" t="s">
        <v>56</v>
      </c>
      <c r="O109" s="419"/>
      <c r="P109" s="413"/>
      <c r="Q109" s="413">
        <f t="shared" si="19"/>
        <v>0</v>
      </c>
      <c r="R109" s="418">
        <f>120000000-120000000</f>
        <v>0</v>
      </c>
      <c r="S109" s="418">
        <v>120000000</v>
      </c>
      <c r="T109" s="418">
        <v>120000000</v>
      </c>
      <c r="U109" s="266"/>
      <c r="V109" s="422">
        <f t="shared" si="20"/>
        <v>0</v>
      </c>
      <c r="W109" s="421">
        <f t="shared" si="21"/>
        <v>0</v>
      </c>
      <c r="X109" s="232"/>
      <c r="Y109" s="368"/>
      <c r="Z109" s="88">
        <f t="shared" si="16"/>
        <v>0</v>
      </c>
      <c r="AA109" s="105"/>
      <c r="AB109" s="105"/>
      <c r="AC109" s="105"/>
      <c r="AD109" s="147"/>
      <c r="AE109" s="105"/>
      <c r="AF109" s="105"/>
      <c r="AG109" s="146"/>
      <c r="AH109" s="3"/>
      <c r="AI109" s="139"/>
    </row>
    <row r="110" spans="2:35" s="138" customFormat="1" ht="25.5" x14ac:dyDescent="0.25">
      <c r="B110" s="1042"/>
      <c r="C110" s="1075"/>
      <c r="D110" s="1013"/>
      <c r="E110" s="1013"/>
      <c r="F110" s="1013"/>
      <c r="G110" s="1030"/>
      <c r="H110" s="1030"/>
      <c r="I110" s="95"/>
      <c r="J110" s="95"/>
      <c r="K110" s="264" t="s">
        <v>242</v>
      </c>
      <c r="L110" s="295" t="s">
        <v>27</v>
      </c>
      <c r="M110" s="295">
        <v>7</v>
      </c>
      <c r="N110" s="95" t="s">
        <v>56</v>
      </c>
      <c r="O110" s="419">
        <f>54183000+30654000-84837000</f>
        <v>0</v>
      </c>
      <c r="P110" s="413"/>
      <c r="Q110" s="413">
        <f t="shared" si="19"/>
        <v>0</v>
      </c>
      <c r="R110" s="304"/>
      <c r="S110" s="413"/>
      <c r="T110" s="413"/>
      <c r="U110" s="413"/>
      <c r="V110" s="370">
        <f t="shared" si="20"/>
        <v>0</v>
      </c>
      <c r="W110" s="417">
        <f t="shared" si="21"/>
        <v>0</v>
      </c>
      <c r="X110" s="232"/>
      <c r="Y110" s="368"/>
      <c r="Z110" s="88">
        <f t="shared" si="16"/>
        <v>0</v>
      </c>
      <c r="AA110" s="105"/>
      <c r="AB110" s="105"/>
      <c r="AC110" s="105"/>
      <c r="AD110" s="147"/>
      <c r="AE110" s="368"/>
      <c r="AF110" s="105"/>
      <c r="AG110" s="146"/>
      <c r="AH110" s="3"/>
      <c r="AI110" s="139"/>
    </row>
    <row r="111" spans="2:35" s="138" customFormat="1" ht="19.5" customHeight="1" x14ac:dyDescent="0.25">
      <c r="B111" s="1042"/>
      <c r="C111" s="1075"/>
      <c r="D111" s="1013"/>
      <c r="E111" s="1013"/>
      <c r="F111" s="1013"/>
      <c r="G111" s="1030"/>
      <c r="H111" s="1030"/>
      <c r="I111" s="95"/>
      <c r="J111" s="95"/>
      <c r="K111" s="264" t="s">
        <v>305</v>
      </c>
      <c r="L111" s="295" t="s">
        <v>27</v>
      </c>
      <c r="M111" s="295"/>
      <c r="N111" s="95" t="s">
        <v>56</v>
      </c>
      <c r="O111" s="419">
        <f>15000000-15000000</f>
        <v>0</v>
      </c>
      <c r="P111" s="413"/>
      <c r="Q111" s="413">
        <f t="shared" si="19"/>
        <v>0</v>
      </c>
      <c r="R111" s="304">
        <f>10000000-10000000</f>
        <v>0</v>
      </c>
      <c r="S111" s="304">
        <v>10000000</v>
      </c>
      <c r="T111" s="304">
        <v>10000000</v>
      </c>
      <c r="U111" s="413"/>
      <c r="V111" s="370">
        <f t="shared" si="20"/>
        <v>0</v>
      </c>
      <c r="W111" s="417">
        <f t="shared" si="21"/>
        <v>0</v>
      </c>
      <c r="X111" s="232"/>
      <c r="Y111" s="368"/>
      <c r="Z111" s="88">
        <f t="shared" si="16"/>
        <v>0</v>
      </c>
      <c r="AA111" s="105"/>
      <c r="AB111" s="105"/>
      <c r="AC111" s="105"/>
      <c r="AD111" s="147"/>
      <c r="AE111" s="105"/>
      <c r="AF111" s="105"/>
      <c r="AG111" s="146"/>
      <c r="AH111" s="3"/>
      <c r="AI111" s="139"/>
    </row>
    <row r="112" spans="2:35" s="138" customFormat="1" ht="39.75" customHeight="1" x14ac:dyDescent="0.25">
      <c r="B112" s="1042"/>
      <c r="C112" s="1075"/>
      <c r="D112" s="1013"/>
      <c r="E112" s="1013"/>
      <c r="F112" s="1013"/>
      <c r="G112" s="1030"/>
      <c r="H112" s="1030"/>
      <c r="I112" s="95" t="s">
        <v>29</v>
      </c>
      <c r="J112" s="95">
        <v>319</v>
      </c>
      <c r="K112" s="264" t="s">
        <v>174</v>
      </c>
      <c r="L112" s="295" t="s">
        <v>27</v>
      </c>
      <c r="M112" s="295">
        <v>9</v>
      </c>
      <c r="N112" s="295" t="s">
        <v>56</v>
      </c>
      <c r="O112" s="419">
        <v>15000000</v>
      </c>
      <c r="P112" s="413"/>
      <c r="Q112" s="413"/>
      <c r="R112" s="304"/>
      <c r="S112" s="304"/>
      <c r="T112" s="304"/>
      <c r="U112" s="413"/>
      <c r="V112" s="370"/>
      <c r="W112" s="417">
        <f t="shared" si="21"/>
        <v>15000000</v>
      </c>
      <c r="X112" s="232">
        <v>15000000</v>
      </c>
      <c r="Y112" s="232"/>
      <c r="Z112" s="88">
        <f t="shared" si="16"/>
        <v>15000000</v>
      </c>
      <c r="AA112" s="106">
        <v>41572</v>
      </c>
      <c r="AB112" s="105">
        <v>120</v>
      </c>
      <c r="AC112" s="105" t="s">
        <v>172</v>
      </c>
      <c r="AD112" s="147"/>
      <c r="AE112" s="105"/>
      <c r="AF112" s="105"/>
      <c r="AG112" s="146"/>
      <c r="AH112" s="3"/>
      <c r="AI112" s="271"/>
    </row>
    <row r="113" spans="2:35" s="138" customFormat="1" ht="38.25" customHeight="1" x14ac:dyDescent="0.25">
      <c r="B113" s="1042"/>
      <c r="C113" s="1075"/>
      <c r="D113" s="1013"/>
      <c r="E113" s="1013"/>
      <c r="F113" s="1013"/>
      <c r="G113" s="1030"/>
      <c r="H113" s="1030"/>
      <c r="I113" s="95" t="s">
        <v>29</v>
      </c>
      <c r="J113" s="95">
        <v>281</v>
      </c>
      <c r="K113" s="264" t="s">
        <v>244</v>
      </c>
      <c r="L113" s="153" t="s">
        <v>60</v>
      </c>
      <c r="M113" s="224">
        <v>1</v>
      </c>
      <c r="N113" s="224" t="s">
        <v>47</v>
      </c>
      <c r="O113" s="419"/>
      <c r="P113" s="413"/>
      <c r="Q113" s="413"/>
      <c r="R113" s="418">
        <v>10000000</v>
      </c>
      <c r="S113" s="304"/>
      <c r="T113" s="304"/>
      <c r="U113" s="413"/>
      <c r="V113" s="370"/>
      <c r="W113" s="417">
        <f t="shared" si="21"/>
        <v>10000000</v>
      </c>
      <c r="X113" s="232"/>
      <c r="Y113" s="232">
        <v>10000000</v>
      </c>
      <c r="Z113" s="88">
        <f t="shared" si="16"/>
        <v>10000000</v>
      </c>
      <c r="AA113" s="106">
        <v>41556</v>
      </c>
      <c r="AB113" s="105">
        <v>117</v>
      </c>
      <c r="AC113" s="105" t="s">
        <v>304</v>
      </c>
      <c r="AD113" s="147"/>
      <c r="AE113" s="105" t="s">
        <v>231</v>
      </c>
      <c r="AF113" s="368">
        <f>+R113</f>
        <v>10000000</v>
      </c>
      <c r="AG113" s="406">
        <f>+Z113</f>
        <v>10000000</v>
      </c>
      <c r="AH113" s="3"/>
      <c r="AI113" s="240"/>
    </row>
    <row r="114" spans="2:35" s="138" customFormat="1" ht="42.75" customHeight="1" x14ac:dyDescent="0.25">
      <c r="B114" s="1042"/>
      <c r="C114" s="1075"/>
      <c r="D114" s="1013"/>
      <c r="E114" s="1013"/>
      <c r="F114" s="1013"/>
      <c r="G114" s="1040"/>
      <c r="H114" s="1040"/>
      <c r="I114" s="95" t="s">
        <v>29</v>
      </c>
      <c r="J114" s="95">
        <v>330</v>
      </c>
      <c r="K114" s="264" t="s">
        <v>303</v>
      </c>
      <c r="L114" s="243"/>
      <c r="M114" s="420"/>
      <c r="N114" s="242"/>
      <c r="O114" s="419"/>
      <c r="P114" s="413"/>
      <c r="Q114" s="413"/>
      <c r="R114" s="418">
        <v>37138500</v>
      </c>
      <c r="S114" s="304"/>
      <c r="T114" s="304"/>
      <c r="U114" s="413"/>
      <c r="V114" s="370"/>
      <c r="W114" s="417">
        <f t="shared" si="21"/>
        <v>37138500</v>
      </c>
      <c r="X114" s="232"/>
      <c r="Y114" s="232">
        <v>37138500</v>
      </c>
      <c r="Z114" s="88">
        <f t="shared" si="16"/>
        <v>37138500</v>
      </c>
      <c r="AA114" s="106">
        <v>41547</v>
      </c>
      <c r="AB114" s="105">
        <v>114</v>
      </c>
      <c r="AC114" s="105" t="s">
        <v>302</v>
      </c>
      <c r="AD114" s="147"/>
      <c r="AE114" s="105"/>
      <c r="AF114" s="368">
        <f>+R114</f>
        <v>37138500</v>
      </c>
      <c r="AG114" s="406">
        <f>+Z114</f>
        <v>37138500</v>
      </c>
      <c r="AH114" s="3">
        <f>+AI114/Z114</f>
        <v>0.77777777777777779</v>
      </c>
      <c r="AI114" s="139">
        <v>28885500</v>
      </c>
    </row>
    <row r="115" spans="2:35" s="138" customFormat="1" ht="17.25" customHeight="1" x14ac:dyDescent="0.25">
      <c r="B115" s="1042"/>
      <c r="C115" s="1075"/>
      <c r="D115" s="1013"/>
      <c r="E115" s="1013"/>
      <c r="F115" s="1013"/>
      <c r="G115" s="1019" t="s">
        <v>24</v>
      </c>
      <c r="H115" s="1019"/>
      <c r="I115" s="1019"/>
      <c r="J115" s="1019"/>
      <c r="K115" s="1019"/>
      <c r="L115" s="1019"/>
      <c r="M115" s="416"/>
      <c r="N115" s="101"/>
      <c r="O115" s="415">
        <f>SUM(O101:O114)</f>
        <v>365163000</v>
      </c>
      <c r="P115" s="415">
        <f>SUM(P101:P114)</f>
        <v>0</v>
      </c>
      <c r="Q115" s="415">
        <f>SUM(Q101:Q114)</f>
        <v>350163000</v>
      </c>
      <c r="R115" s="415">
        <f>SUM(R101:R114)</f>
        <v>47138500</v>
      </c>
      <c r="S115" s="415">
        <f>SUM(S101:S113)</f>
        <v>130000000</v>
      </c>
      <c r="T115" s="415">
        <f>SUM(T101:T113)</f>
        <v>130000000</v>
      </c>
      <c r="U115" s="415">
        <f>SUM(U101:U113)</f>
        <v>0</v>
      </c>
      <c r="V115" s="415">
        <f>SUM(V101:V113)</f>
        <v>0</v>
      </c>
      <c r="W115" s="415">
        <f>SUM(W101:W114)</f>
        <v>412301500</v>
      </c>
      <c r="X115" s="388">
        <f>SUM(X101:X114)</f>
        <v>365163000</v>
      </c>
      <c r="Y115" s="388">
        <f>SUM(Y101:Y114)</f>
        <v>47138500</v>
      </c>
      <c r="Z115" s="88">
        <f t="shared" si="16"/>
        <v>412301500</v>
      </c>
      <c r="AA115" s="277"/>
      <c r="AB115" s="277"/>
      <c r="AC115" s="277"/>
      <c r="AD115" s="79">
        <f>+Z115/W115</f>
        <v>1</v>
      </c>
      <c r="AE115" s="277">
        <f>SUM(AE101:AE113)</f>
        <v>0</v>
      </c>
      <c r="AF115" s="143">
        <f>SUM(AF101:AF114)</f>
        <v>47138500</v>
      </c>
      <c r="AG115" s="142">
        <f>SUM(AG101:AG114)</f>
        <v>47138500</v>
      </c>
      <c r="AH115" s="3"/>
      <c r="AI115" s="139"/>
    </row>
    <row r="116" spans="2:35" s="138" customFormat="1" ht="80.25" customHeight="1" x14ac:dyDescent="0.25">
      <c r="B116" s="1013" t="str">
        <f>+B99</f>
        <v>Proyecto No. 702 : Investigación e innovación para la construcción de conocimiento educativo y pedagógico.</v>
      </c>
      <c r="C116" s="1013" t="str">
        <f>+C99</f>
        <v>EDUCACIÓN Y POLÍTICAS PÚBLICAS</v>
      </c>
      <c r="D116" s="1013" t="str">
        <f>+D99</f>
        <v>Desarrollar 16 estudios  en Educación y Políticas Públicas</v>
      </c>
      <c r="E116" s="1013" t="str">
        <f>+E99</f>
        <v>Desarrollar 4 estudios en Educación y Políticas Públicas</v>
      </c>
      <c r="F116" s="1013" t="str">
        <f>+F99</f>
        <v>Porcentaje de avance de los Estudios desarrollados en Educación y Políticas Públicas.</v>
      </c>
      <c r="G116" s="1020" t="s">
        <v>301</v>
      </c>
      <c r="H116" s="1029" t="s">
        <v>295</v>
      </c>
      <c r="I116" s="295"/>
      <c r="J116" s="295"/>
      <c r="K116" s="414" t="s">
        <v>300</v>
      </c>
      <c r="L116" s="95" t="s">
        <v>27</v>
      </c>
      <c r="M116" s="95">
        <v>5</v>
      </c>
      <c r="N116" s="95" t="s">
        <v>56</v>
      </c>
      <c r="O116" s="372"/>
      <c r="P116" s="371"/>
      <c r="Q116" s="371">
        <f>+O116+P116</f>
        <v>0</v>
      </c>
      <c r="R116" s="304">
        <v>119968000</v>
      </c>
      <c r="S116" s="304">
        <v>120000000</v>
      </c>
      <c r="T116" s="304">
        <v>120000000</v>
      </c>
      <c r="U116" s="413"/>
      <c r="V116" s="370">
        <f>+R116+U116</f>
        <v>119968000</v>
      </c>
      <c r="W116" s="369">
        <f>+Q116+V116</f>
        <v>119968000</v>
      </c>
      <c r="X116" s="232"/>
      <c r="Y116" s="368">
        <v>119968000</v>
      </c>
      <c r="Z116" s="88">
        <f t="shared" si="16"/>
        <v>119968000</v>
      </c>
      <c r="AA116" s="106">
        <v>41572</v>
      </c>
      <c r="AB116" s="105">
        <v>121</v>
      </c>
      <c r="AC116" s="105" t="s">
        <v>299</v>
      </c>
      <c r="AD116" s="85"/>
      <c r="AE116" s="407" t="s">
        <v>297</v>
      </c>
      <c r="AF116" s="368">
        <f>+R116</f>
        <v>119968000</v>
      </c>
      <c r="AG116" s="406">
        <f>+Z116</f>
        <v>119968000</v>
      </c>
      <c r="AH116" s="3">
        <f>+AI116/Z116</f>
        <v>0.7</v>
      </c>
      <c r="AI116" s="139">
        <v>83977600</v>
      </c>
    </row>
    <row r="117" spans="2:35" s="138" customFormat="1" ht="57" customHeight="1" x14ac:dyDescent="0.25">
      <c r="B117" s="1013"/>
      <c r="C117" s="1013"/>
      <c r="D117" s="1013"/>
      <c r="E117" s="1013"/>
      <c r="F117" s="1013"/>
      <c r="G117" s="1021"/>
      <c r="H117" s="1040"/>
      <c r="I117" s="95"/>
      <c r="J117" s="95"/>
      <c r="K117" s="412" t="s">
        <v>298</v>
      </c>
      <c r="L117" s="411"/>
      <c r="M117" s="410"/>
      <c r="N117" s="410"/>
      <c r="O117" s="394"/>
      <c r="P117" s="394">
        <f>120000000-119968000</f>
        <v>32000</v>
      </c>
      <c r="Q117" s="394">
        <f>120000000-119968000</f>
        <v>32000</v>
      </c>
      <c r="R117" s="394">
        <f>120000000-119968000</f>
        <v>32000</v>
      </c>
      <c r="S117" s="409"/>
      <c r="T117" s="409"/>
      <c r="U117" s="393"/>
      <c r="V117" s="390"/>
      <c r="W117" s="408">
        <f>+O117+R117</f>
        <v>32000</v>
      </c>
      <c r="X117" s="232"/>
      <c r="Y117" s="232"/>
      <c r="Z117" s="88">
        <f t="shared" si="16"/>
        <v>0</v>
      </c>
      <c r="AA117" s="106"/>
      <c r="AB117" s="105"/>
      <c r="AC117" s="105"/>
      <c r="AD117" s="85"/>
      <c r="AE117" s="407" t="s">
        <v>297</v>
      </c>
      <c r="AF117" s="368">
        <f>+R117</f>
        <v>32000</v>
      </c>
      <c r="AG117" s="406"/>
      <c r="AH117" s="3"/>
      <c r="AI117" s="139"/>
    </row>
    <row r="118" spans="2:35" s="138" customFormat="1" ht="28.5" customHeight="1" thickBot="1" x14ac:dyDescent="0.3">
      <c r="B118" s="1013"/>
      <c r="C118" s="1013"/>
      <c r="D118" s="1013"/>
      <c r="E118" s="1013"/>
      <c r="F118" s="1013"/>
      <c r="G118" s="1022"/>
      <c r="H118" s="1058" t="s">
        <v>24</v>
      </c>
      <c r="I118" s="1059"/>
      <c r="J118" s="1059"/>
      <c r="K118" s="1059"/>
      <c r="L118" s="1060"/>
      <c r="M118" s="101"/>
      <c r="N118" s="101"/>
      <c r="O118" s="388">
        <f>+O116</f>
        <v>0</v>
      </c>
      <c r="P118" s="144"/>
      <c r="Q118" s="144">
        <f>+Q116</f>
        <v>0</v>
      </c>
      <c r="R118" s="278">
        <f>+R116+R117</f>
        <v>120000000</v>
      </c>
      <c r="S118" s="278">
        <f>+S116</f>
        <v>120000000</v>
      </c>
      <c r="T118" s="278">
        <f>+T116</f>
        <v>120000000</v>
      </c>
      <c r="U118" s="144">
        <f>+U116</f>
        <v>0</v>
      </c>
      <c r="V118" s="145">
        <f>+V116</f>
        <v>119968000</v>
      </c>
      <c r="W118" s="82">
        <f>+O118+R118</f>
        <v>120000000</v>
      </c>
      <c r="X118" s="405">
        <f>+X116</f>
        <v>0</v>
      </c>
      <c r="Y118" s="405">
        <f>+Y116</f>
        <v>119968000</v>
      </c>
      <c r="Z118" s="88">
        <f t="shared" si="16"/>
        <v>119968000</v>
      </c>
      <c r="AA118" s="78"/>
      <c r="AB118" s="78"/>
      <c r="AC118" s="78"/>
      <c r="AD118" s="79">
        <f>+Z118/W118</f>
        <v>0.99973333333333336</v>
      </c>
      <c r="AE118" s="78"/>
      <c r="AF118" s="404">
        <f>+AF116</f>
        <v>119968000</v>
      </c>
      <c r="AG118" s="403">
        <f>+AG116</f>
        <v>119968000</v>
      </c>
      <c r="AH118" s="3"/>
      <c r="AI118" s="139"/>
    </row>
    <row r="119" spans="2:35" s="138" customFormat="1" ht="40.5" customHeight="1" x14ac:dyDescent="0.25">
      <c r="B119" s="1013"/>
      <c r="C119" s="1013"/>
      <c r="D119" s="1013"/>
      <c r="E119" s="1013"/>
      <c r="F119" s="1013"/>
      <c r="G119" s="1020" t="s">
        <v>296</v>
      </c>
      <c r="H119" s="1023" t="s">
        <v>295</v>
      </c>
      <c r="I119" s="212" t="s">
        <v>29</v>
      </c>
      <c r="J119" s="212">
        <v>140</v>
      </c>
      <c r="K119" s="375" t="s">
        <v>294</v>
      </c>
      <c r="L119" s="384" t="s">
        <v>75</v>
      </c>
      <c r="M119" s="399">
        <v>6</v>
      </c>
      <c r="N119" s="384" t="s">
        <v>56</v>
      </c>
      <c r="O119" s="372"/>
      <c r="P119" s="371"/>
      <c r="Q119" s="371"/>
      <c r="R119" s="402">
        <v>19700000</v>
      </c>
      <c r="S119" s="371"/>
      <c r="T119" s="371"/>
      <c r="U119" s="371"/>
      <c r="V119" s="370">
        <f t="shared" ref="V119:V139" si="23">+R119+U119</f>
        <v>19700000</v>
      </c>
      <c r="W119" s="369">
        <f t="shared" ref="W119:W125" si="24">+Q119+V119</f>
        <v>19700000</v>
      </c>
      <c r="X119" s="232"/>
      <c r="Y119" s="368">
        <v>19700000</v>
      </c>
      <c r="Z119" s="88">
        <f t="shared" si="16"/>
        <v>19700000</v>
      </c>
      <c r="AA119" s="106">
        <v>41366</v>
      </c>
      <c r="AB119" s="105">
        <v>35</v>
      </c>
      <c r="AC119" s="104" t="s">
        <v>293</v>
      </c>
      <c r="AD119" s="147"/>
      <c r="AE119" s="104" t="s">
        <v>284</v>
      </c>
      <c r="AF119" s="105"/>
      <c r="AG119" s="146"/>
      <c r="AH119" s="3">
        <f t="shared" ref="AH119:AH124" si="25">+AI119/Z119</f>
        <v>0</v>
      </c>
      <c r="AI119" s="139">
        <v>0</v>
      </c>
    </row>
    <row r="120" spans="2:35" s="138" customFormat="1" ht="44.25" customHeight="1" x14ac:dyDescent="0.25">
      <c r="B120" s="1013"/>
      <c r="C120" s="1013"/>
      <c r="D120" s="1013"/>
      <c r="E120" s="1013"/>
      <c r="F120" s="1013"/>
      <c r="G120" s="1021"/>
      <c r="H120" s="1024"/>
      <c r="I120" s="212" t="s">
        <v>29</v>
      </c>
      <c r="J120" s="212">
        <v>141</v>
      </c>
      <c r="K120" s="375" t="s">
        <v>292</v>
      </c>
      <c r="L120" s="384" t="s">
        <v>75</v>
      </c>
      <c r="M120" s="399">
        <v>3</v>
      </c>
      <c r="N120" s="384" t="s">
        <v>56</v>
      </c>
      <c r="O120" s="372"/>
      <c r="P120" s="371"/>
      <c r="Q120" s="371"/>
      <c r="R120" s="401">
        <v>11400000</v>
      </c>
      <c r="S120" s="371"/>
      <c r="T120" s="371"/>
      <c r="U120" s="371"/>
      <c r="V120" s="370">
        <f t="shared" si="23"/>
        <v>11400000</v>
      </c>
      <c r="W120" s="369">
        <f t="shared" si="24"/>
        <v>11400000</v>
      </c>
      <c r="X120" s="232"/>
      <c r="Y120" s="368">
        <v>11400000</v>
      </c>
      <c r="Z120" s="88">
        <f t="shared" si="16"/>
        <v>11400000</v>
      </c>
      <c r="AA120" s="106">
        <v>41367</v>
      </c>
      <c r="AB120" s="105">
        <v>36</v>
      </c>
      <c r="AC120" s="105" t="s">
        <v>291</v>
      </c>
      <c r="AD120" s="147"/>
      <c r="AE120" s="104" t="s">
        <v>284</v>
      </c>
      <c r="AF120" s="105"/>
      <c r="AG120" s="146"/>
      <c r="AH120" s="3">
        <f t="shared" si="25"/>
        <v>0</v>
      </c>
      <c r="AI120" s="139">
        <v>0</v>
      </c>
    </row>
    <row r="121" spans="2:35" s="138" customFormat="1" ht="79.5" customHeight="1" x14ac:dyDescent="0.25">
      <c r="B121" s="1013"/>
      <c r="C121" s="1013"/>
      <c r="D121" s="1013"/>
      <c r="E121" s="1013"/>
      <c r="F121" s="1013"/>
      <c r="G121" s="1021"/>
      <c r="H121" s="1024"/>
      <c r="I121" s="212" t="s">
        <v>29</v>
      </c>
      <c r="J121" s="212">
        <v>142</v>
      </c>
      <c r="K121" s="375" t="s">
        <v>290</v>
      </c>
      <c r="L121" s="384" t="s">
        <v>75</v>
      </c>
      <c r="M121" s="399">
        <v>2</v>
      </c>
      <c r="N121" s="384" t="s">
        <v>56</v>
      </c>
      <c r="O121" s="372"/>
      <c r="P121" s="371"/>
      <c r="Q121" s="371"/>
      <c r="R121" s="401">
        <v>7600000</v>
      </c>
      <c r="S121" s="371"/>
      <c r="T121" s="371"/>
      <c r="U121" s="371"/>
      <c r="V121" s="370">
        <f t="shared" si="23"/>
        <v>7600000</v>
      </c>
      <c r="W121" s="369">
        <f t="shared" si="24"/>
        <v>7600000</v>
      </c>
      <c r="X121" s="232"/>
      <c r="Y121" s="368">
        <v>7600000</v>
      </c>
      <c r="Z121" s="88">
        <f t="shared" si="16"/>
        <v>7600000</v>
      </c>
      <c r="AA121" s="106">
        <v>41383</v>
      </c>
      <c r="AB121" s="105">
        <v>41</v>
      </c>
      <c r="AC121" s="104" t="s">
        <v>289</v>
      </c>
      <c r="AD121" s="147"/>
      <c r="AE121" s="247" t="s">
        <v>284</v>
      </c>
      <c r="AF121" s="105"/>
      <c r="AG121" s="146"/>
      <c r="AH121" s="3">
        <f t="shared" si="25"/>
        <v>0</v>
      </c>
      <c r="AI121" s="139">
        <v>0</v>
      </c>
    </row>
    <row r="122" spans="2:35" s="138" customFormat="1" ht="84" customHeight="1" x14ac:dyDescent="0.25">
      <c r="B122" s="1013"/>
      <c r="C122" s="1013"/>
      <c r="D122" s="1013"/>
      <c r="E122" s="1013"/>
      <c r="F122" s="1013"/>
      <c r="G122" s="1021"/>
      <c r="H122" s="1024"/>
      <c r="I122" s="212" t="s">
        <v>29</v>
      </c>
      <c r="J122" s="212">
        <v>143</v>
      </c>
      <c r="K122" s="375" t="s">
        <v>288</v>
      </c>
      <c r="L122" s="384" t="s">
        <v>75</v>
      </c>
      <c r="M122" s="399">
        <v>2</v>
      </c>
      <c r="N122" s="384" t="s">
        <v>56</v>
      </c>
      <c r="O122" s="372"/>
      <c r="P122" s="371"/>
      <c r="Q122" s="371"/>
      <c r="R122" s="401">
        <v>7600000</v>
      </c>
      <c r="S122" s="371"/>
      <c r="T122" s="371"/>
      <c r="U122" s="371"/>
      <c r="V122" s="370">
        <f t="shared" si="23"/>
        <v>7600000</v>
      </c>
      <c r="W122" s="369">
        <f t="shared" si="24"/>
        <v>7600000</v>
      </c>
      <c r="X122" s="232"/>
      <c r="Y122" s="368">
        <v>7600000</v>
      </c>
      <c r="Z122" s="88">
        <f t="shared" si="16"/>
        <v>7600000</v>
      </c>
      <c r="AA122" s="106">
        <v>41400</v>
      </c>
      <c r="AB122" s="105">
        <v>50</v>
      </c>
      <c r="AC122" s="104" t="s">
        <v>287</v>
      </c>
      <c r="AD122" s="147"/>
      <c r="AE122" s="247" t="s">
        <v>284</v>
      </c>
      <c r="AF122" s="105"/>
      <c r="AG122" s="146"/>
      <c r="AH122" s="3">
        <f t="shared" si="25"/>
        <v>0</v>
      </c>
      <c r="AI122" s="139">
        <v>0</v>
      </c>
    </row>
    <row r="123" spans="2:35" s="138" customFormat="1" ht="81.75" customHeight="1" x14ac:dyDescent="0.25">
      <c r="B123" s="1013"/>
      <c r="C123" s="1013"/>
      <c r="D123" s="1013"/>
      <c r="E123" s="1013"/>
      <c r="F123" s="1013"/>
      <c r="G123" s="1021"/>
      <c r="H123" s="1024"/>
      <c r="I123" s="212" t="s">
        <v>29</v>
      </c>
      <c r="J123" s="212">
        <v>144</v>
      </c>
      <c r="K123" s="375" t="s">
        <v>286</v>
      </c>
      <c r="L123" s="384" t="s">
        <v>75</v>
      </c>
      <c r="M123" s="399">
        <v>2</v>
      </c>
      <c r="N123" s="384" t="s">
        <v>56</v>
      </c>
      <c r="O123" s="372"/>
      <c r="P123" s="371"/>
      <c r="Q123" s="371"/>
      <c r="R123" s="400">
        <v>7600000</v>
      </c>
      <c r="S123" s="371"/>
      <c r="T123" s="371"/>
      <c r="U123" s="371"/>
      <c r="V123" s="370">
        <f t="shared" si="23"/>
        <v>7600000</v>
      </c>
      <c r="W123" s="369">
        <f t="shared" si="24"/>
        <v>7600000</v>
      </c>
      <c r="X123" s="232"/>
      <c r="Y123" s="368">
        <v>7600000</v>
      </c>
      <c r="Z123" s="88">
        <f t="shared" si="16"/>
        <v>7600000</v>
      </c>
      <c r="AA123" s="106">
        <v>41417</v>
      </c>
      <c r="AB123" s="105">
        <v>53</v>
      </c>
      <c r="AC123" s="104" t="s">
        <v>285</v>
      </c>
      <c r="AD123" s="147"/>
      <c r="AE123" s="247" t="s">
        <v>284</v>
      </c>
      <c r="AF123" s="105"/>
      <c r="AG123" s="146"/>
      <c r="AH123" s="3">
        <f t="shared" si="25"/>
        <v>0</v>
      </c>
      <c r="AI123" s="139">
        <v>0</v>
      </c>
    </row>
    <row r="124" spans="2:35" s="138" customFormat="1" ht="51.75" thickBot="1" x14ac:dyDescent="0.3">
      <c r="B124" s="1013"/>
      <c r="C124" s="1013"/>
      <c r="D124" s="1013"/>
      <c r="E124" s="1013"/>
      <c r="F124" s="1013"/>
      <c r="G124" s="1021"/>
      <c r="H124" s="1025"/>
      <c r="I124" s="212" t="s">
        <v>29</v>
      </c>
      <c r="J124" s="212">
        <v>315</v>
      </c>
      <c r="K124" s="374" t="s">
        <v>283</v>
      </c>
      <c r="L124" s="153" t="s">
        <v>75</v>
      </c>
      <c r="M124" s="399">
        <v>6</v>
      </c>
      <c r="N124" s="384" t="s">
        <v>56</v>
      </c>
      <c r="O124" s="372"/>
      <c r="P124" s="371"/>
      <c r="Q124" s="371"/>
      <c r="R124" s="398">
        <v>13077724</v>
      </c>
      <c r="S124" s="371"/>
      <c r="T124" s="371"/>
      <c r="U124" s="371"/>
      <c r="V124" s="370">
        <f t="shared" si="23"/>
        <v>13077724</v>
      </c>
      <c r="W124" s="369">
        <f t="shared" si="24"/>
        <v>13077724</v>
      </c>
      <c r="X124" s="232"/>
      <c r="Y124" s="368">
        <v>13077724</v>
      </c>
      <c r="Z124" s="88">
        <f t="shared" si="16"/>
        <v>13077724</v>
      </c>
      <c r="AA124" s="106">
        <v>41535</v>
      </c>
      <c r="AB124" s="105">
        <v>109</v>
      </c>
      <c r="AC124" s="105" t="s">
        <v>282</v>
      </c>
      <c r="AD124" s="147"/>
      <c r="AE124" s="247"/>
      <c r="AF124" s="105"/>
      <c r="AG124" s="146"/>
      <c r="AH124" s="3">
        <f t="shared" si="25"/>
        <v>5.320727062293102E-3</v>
      </c>
      <c r="AI124" s="139">
        <v>69583</v>
      </c>
    </row>
    <row r="125" spans="2:35" s="138" customFormat="1" ht="69.75" customHeight="1" x14ac:dyDescent="0.25">
      <c r="B125" s="1013"/>
      <c r="C125" s="1013"/>
      <c r="D125" s="1013"/>
      <c r="E125" s="1013"/>
      <c r="F125" s="1013"/>
      <c r="G125" s="169"/>
      <c r="H125" s="354"/>
      <c r="I125" s="212"/>
      <c r="J125" s="212"/>
      <c r="K125" s="397" t="s">
        <v>281</v>
      </c>
      <c r="L125" s="396"/>
      <c r="M125" s="395"/>
      <c r="N125" s="395"/>
      <c r="O125" s="394"/>
      <c r="P125" s="391"/>
      <c r="Q125" s="393"/>
      <c r="R125" s="392">
        <v>22276</v>
      </c>
      <c r="S125" s="391"/>
      <c r="T125" s="391"/>
      <c r="U125" s="391"/>
      <c r="V125" s="390">
        <f t="shared" si="23"/>
        <v>22276</v>
      </c>
      <c r="W125" s="389">
        <f t="shared" si="24"/>
        <v>22276</v>
      </c>
      <c r="X125" s="232"/>
      <c r="Y125" s="368"/>
      <c r="Z125" s="88">
        <f t="shared" si="16"/>
        <v>0</v>
      </c>
      <c r="AA125" s="106"/>
      <c r="AB125" s="105"/>
      <c r="AC125" s="105"/>
      <c r="AD125" s="147"/>
      <c r="AE125" s="247"/>
      <c r="AF125" s="105"/>
      <c r="AG125" s="146"/>
      <c r="AH125" s="3"/>
      <c r="AI125" s="139"/>
    </row>
    <row r="126" spans="2:35" s="138" customFormat="1" ht="25.5" customHeight="1" x14ac:dyDescent="0.25">
      <c r="B126" s="1014"/>
      <c r="C126" s="1014"/>
      <c r="D126" s="1014"/>
      <c r="E126" s="1014"/>
      <c r="F126" s="1014"/>
      <c r="G126" s="1019" t="s">
        <v>24</v>
      </c>
      <c r="H126" s="1019"/>
      <c r="I126" s="1019"/>
      <c r="J126" s="1019"/>
      <c r="K126" s="1019"/>
      <c r="L126" s="194"/>
      <c r="M126" s="194"/>
      <c r="N126" s="194"/>
      <c r="O126" s="388">
        <f>SUM(O119:O124)</f>
        <v>0</v>
      </c>
      <c r="P126" s="388">
        <f>SUM(P119:P124)</f>
        <v>0</v>
      </c>
      <c r="Q126" s="82">
        <f>+O126+P126</f>
        <v>0</v>
      </c>
      <c r="R126" s="388">
        <f>SUM(R119:R125)</f>
        <v>67000000</v>
      </c>
      <c r="S126" s="388">
        <f>SUM(S119:S124)</f>
        <v>0</v>
      </c>
      <c r="T126" s="388"/>
      <c r="U126" s="388">
        <f>SUM(U119:U124)</f>
        <v>0</v>
      </c>
      <c r="V126" s="336">
        <f t="shared" si="23"/>
        <v>67000000</v>
      </c>
      <c r="W126" s="82">
        <f>+O126+R126</f>
        <v>67000000</v>
      </c>
      <c r="X126" s="335">
        <f>SUM(X119:X124)</f>
        <v>0</v>
      </c>
      <c r="Y126" s="335">
        <f>SUM(Y119:Y124)</f>
        <v>66977724</v>
      </c>
      <c r="Z126" s="88">
        <f t="shared" si="16"/>
        <v>66977724</v>
      </c>
      <c r="AA126" s="78"/>
      <c r="AB126" s="78"/>
      <c r="AC126" s="78"/>
      <c r="AD126" s="79">
        <f>+Z126/W126</f>
        <v>0.99966752238805967</v>
      </c>
      <c r="AE126" s="78"/>
      <c r="AF126" s="387">
        <f>SUM(AF119:AF124)</f>
        <v>0</v>
      </c>
      <c r="AG126" s="386">
        <f>SUM(AG119:AG124)</f>
        <v>0</v>
      </c>
      <c r="AH126" s="3">
        <f t="shared" ref="AH126:AH132" si="26">+AI126/Z126</f>
        <v>0</v>
      </c>
      <c r="AI126" s="139"/>
    </row>
    <row r="127" spans="2:35" s="138" customFormat="1" ht="66.75" customHeight="1" x14ac:dyDescent="0.25">
      <c r="B127" s="1012" t="str">
        <f>+B116</f>
        <v>Proyecto No. 702 : Investigación e innovación para la construcción de conocimiento educativo y pedagógico.</v>
      </c>
      <c r="C127" s="1012" t="str">
        <f>+C116</f>
        <v>EDUCACIÓN Y POLÍTICAS PÚBLICAS</v>
      </c>
      <c r="D127" s="1012" t="str">
        <f>+D116</f>
        <v>Desarrollar 16 estudios  en Educación y Políticas Públicas</v>
      </c>
      <c r="E127" s="1012" t="str">
        <f>+E116</f>
        <v>Desarrollar 4 estudios en Educación y Políticas Públicas</v>
      </c>
      <c r="F127" s="1012" t="str">
        <f>+F116</f>
        <v>Porcentaje de avance de los Estudios desarrollados en Educación y Políticas Públicas.</v>
      </c>
      <c r="G127" s="1029" t="s">
        <v>280</v>
      </c>
      <c r="H127" s="1020" t="s">
        <v>253</v>
      </c>
      <c r="I127" s="153" t="s">
        <v>29</v>
      </c>
      <c r="J127" s="153">
        <v>146</v>
      </c>
      <c r="K127" s="375" t="s">
        <v>279</v>
      </c>
      <c r="L127" s="224" t="s">
        <v>75</v>
      </c>
      <c r="M127" s="373">
        <v>5</v>
      </c>
      <c r="N127" s="212" t="s">
        <v>56</v>
      </c>
      <c r="O127" s="372"/>
      <c r="P127" s="371"/>
      <c r="Q127" s="371"/>
      <c r="R127" s="283">
        <v>20000000</v>
      </c>
      <c r="S127" s="371"/>
      <c r="T127" s="371"/>
      <c r="U127" s="371"/>
      <c r="V127" s="370">
        <f t="shared" si="23"/>
        <v>20000000</v>
      </c>
      <c r="W127" s="369">
        <f t="shared" ref="W127:W139" si="27">+Q127+V127</f>
        <v>20000000</v>
      </c>
      <c r="X127" s="232"/>
      <c r="Y127" s="368">
        <v>20000000</v>
      </c>
      <c r="Z127" s="88">
        <f t="shared" si="16"/>
        <v>20000000</v>
      </c>
      <c r="AA127" s="106">
        <v>41337</v>
      </c>
      <c r="AB127" s="105">
        <v>8</v>
      </c>
      <c r="AC127" s="367" t="s">
        <v>278</v>
      </c>
      <c r="AD127" s="147"/>
      <c r="AE127" s="247" t="s">
        <v>257</v>
      </c>
      <c r="AF127" s="105"/>
      <c r="AG127" s="146"/>
      <c r="AH127" s="3">
        <f t="shared" si="26"/>
        <v>0</v>
      </c>
      <c r="AI127" s="139">
        <v>0</v>
      </c>
    </row>
    <row r="128" spans="2:35" s="138" customFormat="1" ht="75" customHeight="1" x14ac:dyDescent="0.25">
      <c r="B128" s="1013"/>
      <c r="C128" s="1013"/>
      <c r="D128" s="1013"/>
      <c r="E128" s="1013"/>
      <c r="F128" s="1013"/>
      <c r="G128" s="1030"/>
      <c r="H128" s="1021"/>
      <c r="I128" s="153" t="s">
        <v>29</v>
      </c>
      <c r="J128" s="153">
        <v>147</v>
      </c>
      <c r="K128" s="375" t="s">
        <v>277</v>
      </c>
      <c r="L128" s="224" t="s">
        <v>75</v>
      </c>
      <c r="M128" s="373">
        <v>5</v>
      </c>
      <c r="N128" s="212" t="s">
        <v>56</v>
      </c>
      <c r="O128" s="372"/>
      <c r="P128" s="371"/>
      <c r="Q128" s="371"/>
      <c r="R128" s="283">
        <v>20000000</v>
      </c>
      <c r="S128" s="371"/>
      <c r="T128" s="371"/>
      <c r="U128" s="371"/>
      <c r="V128" s="370">
        <f t="shared" si="23"/>
        <v>20000000</v>
      </c>
      <c r="W128" s="369">
        <f t="shared" si="27"/>
        <v>20000000</v>
      </c>
      <c r="X128" s="232"/>
      <c r="Y128" s="368">
        <v>20000000</v>
      </c>
      <c r="Z128" s="88">
        <f t="shared" si="16"/>
        <v>20000000</v>
      </c>
      <c r="AA128" s="106">
        <v>41337</v>
      </c>
      <c r="AB128" s="105">
        <v>12</v>
      </c>
      <c r="AC128" s="367" t="s">
        <v>276</v>
      </c>
      <c r="AD128" s="147"/>
      <c r="AE128" s="247" t="s">
        <v>257</v>
      </c>
      <c r="AF128" s="105"/>
      <c r="AG128" s="146"/>
      <c r="AH128" s="3">
        <f t="shared" si="26"/>
        <v>0</v>
      </c>
      <c r="AI128" s="139">
        <v>0</v>
      </c>
    </row>
    <row r="129" spans="2:38" s="138" customFormat="1" ht="54" customHeight="1" x14ac:dyDescent="0.25">
      <c r="B129" s="1013"/>
      <c r="C129" s="1013"/>
      <c r="D129" s="1013"/>
      <c r="E129" s="1013"/>
      <c r="F129" s="1013"/>
      <c r="G129" s="1030"/>
      <c r="H129" s="1021"/>
      <c r="I129" s="153" t="s">
        <v>29</v>
      </c>
      <c r="J129" s="153">
        <v>148</v>
      </c>
      <c r="K129" s="375" t="s">
        <v>275</v>
      </c>
      <c r="L129" s="384" t="s">
        <v>75</v>
      </c>
      <c r="M129" s="385">
        <v>5</v>
      </c>
      <c r="N129" s="384" t="s">
        <v>56</v>
      </c>
      <c r="O129" s="381"/>
      <c r="P129" s="380"/>
      <c r="Q129" s="380"/>
      <c r="R129" s="283">
        <v>20000000</v>
      </c>
      <c r="S129" s="371"/>
      <c r="T129" s="371"/>
      <c r="U129" s="371"/>
      <c r="V129" s="370">
        <f t="shared" si="23"/>
        <v>20000000</v>
      </c>
      <c r="W129" s="369">
        <f t="shared" si="27"/>
        <v>20000000</v>
      </c>
      <c r="X129" s="232"/>
      <c r="Y129" s="368">
        <v>20000000</v>
      </c>
      <c r="Z129" s="88">
        <f t="shared" si="16"/>
        <v>20000000</v>
      </c>
      <c r="AA129" s="106">
        <v>41337</v>
      </c>
      <c r="AB129" s="105">
        <v>16</v>
      </c>
      <c r="AC129" s="367" t="s">
        <v>274</v>
      </c>
      <c r="AD129" s="147"/>
      <c r="AE129" s="247" t="s">
        <v>257</v>
      </c>
      <c r="AF129" s="105"/>
      <c r="AG129" s="146"/>
      <c r="AH129" s="3">
        <f t="shared" si="26"/>
        <v>0</v>
      </c>
      <c r="AI129" s="139">
        <v>0</v>
      </c>
    </row>
    <row r="130" spans="2:38" s="138" customFormat="1" ht="61.5" customHeight="1" x14ac:dyDescent="0.25">
      <c r="B130" s="1013"/>
      <c r="C130" s="1013"/>
      <c r="D130" s="1013"/>
      <c r="E130" s="1013"/>
      <c r="F130" s="1013"/>
      <c r="G130" s="1030"/>
      <c r="H130" s="1021"/>
      <c r="I130" s="153" t="s">
        <v>29</v>
      </c>
      <c r="J130" s="153">
        <v>149</v>
      </c>
      <c r="K130" s="375" t="s">
        <v>273</v>
      </c>
      <c r="L130" s="224" t="s">
        <v>75</v>
      </c>
      <c r="M130" s="373">
        <v>5</v>
      </c>
      <c r="N130" s="212" t="s">
        <v>56</v>
      </c>
      <c r="O130" s="372"/>
      <c r="P130" s="371"/>
      <c r="Q130" s="371"/>
      <c r="R130" s="283">
        <v>20000000</v>
      </c>
      <c r="S130" s="371"/>
      <c r="T130" s="371"/>
      <c r="U130" s="371"/>
      <c r="V130" s="370">
        <f t="shared" si="23"/>
        <v>20000000</v>
      </c>
      <c r="W130" s="369">
        <f t="shared" si="27"/>
        <v>20000000</v>
      </c>
      <c r="X130" s="232"/>
      <c r="Y130" s="368">
        <v>20000000</v>
      </c>
      <c r="Z130" s="88">
        <f t="shared" si="16"/>
        <v>20000000</v>
      </c>
      <c r="AA130" s="106">
        <v>41337</v>
      </c>
      <c r="AB130" s="105">
        <v>11</v>
      </c>
      <c r="AC130" s="377" t="s">
        <v>272</v>
      </c>
      <c r="AD130" s="147"/>
      <c r="AE130" s="247" t="s">
        <v>257</v>
      </c>
      <c r="AF130" s="105"/>
      <c r="AG130" s="146"/>
      <c r="AH130" s="3">
        <f t="shared" si="26"/>
        <v>0</v>
      </c>
      <c r="AI130" s="139">
        <v>0</v>
      </c>
    </row>
    <row r="131" spans="2:38" s="138" customFormat="1" ht="84" customHeight="1" x14ac:dyDescent="0.25">
      <c r="B131" s="1013"/>
      <c r="C131" s="1013"/>
      <c r="D131" s="1013"/>
      <c r="E131" s="1013"/>
      <c r="F131" s="1013"/>
      <c r="G131" s="1030"/>
      <c r="H131" s="1021"/>
      <c r="I131" s="153" t="s">
        <v>29</v>
      </c>
      <c r="J131" s="153">
        <v>150</v>
      </c>
      <c r="K131" s="375" t="s">
        <v>271</v>
      </c>
      <c r="L131" s="224" t="s">
        <v>75</v>
      </c>
      <c r="M131" s="373">
        <v>5</v>
      </c>
      <c r="N131" s="212" t="s">
        <v>56</v>
      </c>
      <c r="O131" s="372"/>
      <c r="P131" s="371"/>
      <c r="Q131" s="371"/>
      <c r="R131" s="361">
        <v>20000000</v>
      </c>
      <c r="S131" s="371"/>
      <c r="T131" s="371"/>
      <c r="U131" s="371"/>
      <c r="V131" s="370">
        <f t="shared" si="23"/>
        <v>20000000</v>
      </c>
      <c r="W131" s="369">
        <f t="shared" si="27"/>
        <v>20000000</v>
      </c>
      <c r="X131" s="232"/>
      <c r="Y131" s="368">
        <v>20000000</v>
      </c>
      <c r="Z131" s="88">
        <f t="shared" si="16"/>
        <v>20000000</v>
      </c>
      <c r="AA131" s="106">
        <v>41337</v>
      </c>
      <c r="AB131" s="105">
        <v>10</v>
      </c>
      <c r="AC131" s="377" t="s">
        <v>270</v>
      </c>
      <c r="AD131" s="147"/>
      <c r="AE131" s="247" t="s">
        <v>257</v>
      </c>
      <c r="AF131" s="105"/>
      <c r="AG131" s="146"/>
      <c r="AH131" s="3">
        <f t="shared" si="26"/>
        <v>0</v>
      </c>
      <c r="AI131" s="139">
        <v>0</v>
      </c>
    </row>
    <row r="132" spans="2:38" s="138" customFormat="1" ht="43.5" customHeight="1" x14ac:dyDescent="0.25">
      <c r="B132" s="1013"/>
      <c r="C132" s="1013"/>
      <c r="D132" s="1013"/>
      <c r="E132" s="1013"/>
      <c r="F132" s="1013"/>
      <c r="G132" s="1030"/>
      <c r="H132" s="1021"/>
      <c r="I132" s="153" t="s">
        <v>29</v>
      </c>
      <c r="J132" s="153">
        <v>151</v>
      </c>
      <c r="K132" s="375" t="s">
        <v>269</v>
      </c>
      <c r="L132" s="224" t="s">
        <v>75</v>
      </c>
      <c r="M132" s="373">
        <v>5</v>
      </c>
      <c r="N132" s="212" t="s">
        <v>56</v>
      </c>
      <c r="O132" s="372"/>
      <c r="P132" s="371"/>
      <c r="Q132" s="371"/>
      <c r="R132" s="361">
        <v>20000000</v>
      </c>
      <c r="S132" s="371"/>
      <c r="T132" s="371"/>
      <c r="U132" s="371"/>
      <c r="V132" s="370">
        <f t="shared" si="23"/>
        <v>20000000</v>
      </c>
      <c r="W132" s="369">
        <f t="shared" si="27"/>
        <v>20000000</v>
      </c>
      <c r="X132" s="232"/>
      <c r="Y132" s="368">
        <v>20000000</v>
      </c>
      <c r="Z132" s="88">
        <f t="shared" si="16"/>
        <v>20000000</v>
      </c>
      <c r="AA132" s="106">
        <v>41337</v>
      </c>
      <c r="AB132" s="105">
        <v>9</v>
      </c>
      <c r="AC132" s="367" t="s">
        <v>268</v>
      </c>
      <c r="AD132" s="147"/>
      <c r="AE132" s="247" t="s">
        <v>257</v>
      </c>
      <c r="AF132" s="105"/>
      <c r="AG132" s="146"/>
      <c r="AH132" s="3">
        <f t="shared" si="26"/>
        <v>0</v>
      </c>
      <c r="AI132" s="139">
        <v>0</v>
      </c>
    </row>
    <row r="133" spans="2:38" s="138" customFormat="1" ht="48.75" customHeight="1" x14ac:dyDescent="0.25">
      <c r="B133" s="1013"/>
      <c r="C133" s="1013"/>
      <c r="D133" s="1013"/>
      <c r="E133" s="1013"/>
      <c r="F133" s="1013"/>
      <c r="G133" s="1030"/>
      <c r="H133" s="1021"/>
      <c r="I133" s="153"/>
      <c r="J133" s="121">
        <v>152</v>
      </c>
      <c r="K133" s="383" t="s">
        <v>267</v>
      </c>
      <c r="L133" s="121" t="s">
        <v>75</v>
      </c>
      <c r="M133" s="382">
        <v>5</v>
      </c>
      <c r="N133" s="199" t="s">
        <v>56</v>
      </c>
      <c r="O133" s="381"/>
      <c r="P133" s="380"/>
      <c r="Q133" s="380"/>
      <c r="R133" s="314">
        <v>15000000</v>
      </c>
      <c r="S133" s="380"/>
      <c r="T133" s="380"/>
      <c r="U133" s="380"/>
      <c r="V133" s="379">
        <f t="shared" si="23"/>
        <v>15000000</v>
      </c>
      <c r="W133" s="378">
        <f t="shared" si="27"/>
        <v>15000000</v>
      </c>
      <c r="X133" s="232"/>
      <c r="Y133" s="368"/>
      <c r="Z133" s="88">
        <f t="shared" si="16"/>
        <v>0</v>
      </c>
      <c r="AA133" s="105"/>
      <c r="AB133" s="105"/>
      <c r="AC133" s="377"/>
      <c r="AD133" s="147"/>
      <c r="AE133" s="247"/>
      <c r="AF133" s="105"/>
      <c r="AG133" s="146"/>
      <c r="AH133" s="3"/>
      <c r="AI133" s="139"/>
    </row>
    <row r="134" spans="2:38" s="138" customFormat="1" ht="89.25" customHeight="1" x14ac:dyDescent="0.25">
      <c r="B134" s="1013"/>
      <c r="C134" s="1013"/>
      <c r="D134" s="1013"/>
      <c r="E134" s="1013"/>
      <c r="F134" s="1013"/>
      <c r="G134" s="1030"/>
      <c r="H134" s="1021"/>
      <c r="I134" s="153" t="s">
        <v>29</v>
      </c>
      <c r="J134" s="153">
        <v>153</v>
      </c>
      <c r="K134" s="375" t="s">
        <v>266</v>
      </c>
      <c r="L134" s="224" t="s">
        <v>75</v>
      </c>
      <c r="M134" s="373">
        <v>5</v>
      </c>
      <c r="N134" s="212" t="s">
        <v>56</v>
      </c>
      <c r="O134" s="372"/>
      <c r="P134" s="371"/>
      <c r="Q134" s="371"/>
      <c r="R134" s="361">
        <v>17500000</v>
      </c>
      <c r="S134" s="371"/>
      <c r="T134" s="371"/>
      <c r="U134" s="371"/>
      <c r="V134" s="370">
        <f t="shared" si="23"/>
        <v>17500000</v>
      </c>
      <c r="W134" s="369">
        <f t="shared" si="27"/>
        <v>17500000</v>
      </c>
      <c r="X134" s="232"/>
      <c r="Y134" s="368">
        <v>17500000</v>
      </c>
      <c r="Z134" s="88">
        <f t="shared" si="16"/>
        <v>17500000</v>
      </c>
      <c r="AA134" s="106">
        <v>41328</v>
      </c>
      <c r="AB134" s="105">
        <v>6</v>
      </c>
      <c r="AC134" s="367" t="s">
        <v>265</v>
      </c>
      <c r="AD134" s="147"/>
      <c r="AE134" s="376" t="s">
        <v>257</v>
      </c>
      <c r="AF134" s="105"/>
      <c r="AG134" s="146"/>
      <c r="AH134" s="3">
        <f t="shared" ref="AH134:AH139" si="28">+AI134/Z134</f>
        <v>0</v>
      </c>
      <c r="AI134" s="139">
        <v>0</v>
      </c>
    </row>
    <row r="135" spans="2:38" s="138" customFormat="1" ht="36.75" customHeight="1" x14ac:dyDescent="0.25">
      <c r="B135" s="1013"/>
      <c r="C135" s="1013"/>
      <c r="D135" s="1013"/>
      <c r="E135" s="1013"/>
      <c r="F135" s="1013"/>
      <c r="G135" s="1030"/>
      <c r="H135" s="1021"/>
      <c r="I135" s="153" t="s">
        <v>29</v>
      </c>
      <c r="J135" s="153">
        <v>228</v>
      </c>
      <c r="K135" s="375" t="s">
        <v>264</v>
      </c>
      <c r="L135" s="224" t="s">
        <v>122</v>
      </c>
      <c r="M135" s="373">
        <v>5</v>
      </c>
      <c r="N135" s="212" t="s">
        <v>56</v>
      </c>
      <c r="O135" s="372"/>
      <c r="P135" s="371"/>
      <c r="Q135" s="371"/>
      <c r="R135" s="361">
        <f>30000000-15000000</f>
        <v>15000000</v>
      </c>
      <c r="S135" s="371"/>
      <c r="T135" s="371"/>
      <c r="U135" s="371"/>
      <c r="V135" s="370">
        <f t="shared" si="23"/>
        <v>15000000</v>
      </c>
      <c r="W135" s="369">
        <f t="shared" si="27"/>
        <v>15000000</v>
      </c>
      <c r="X135" s="232"/>
      <c r="Y135" s="368">
        <v>15000000</v>
      </c>
      <c r="Z135" s="88">
        <f t="shared" si="16"/>
        <v>15000000</v>
      </c>
      <c r="AA135" s="106">
        <v>41355</v>
      </c>
      <c r="AB135" s="105">
        <v>33</v>
      </c>
      <c r="AC135" s="367" t="s">
        <v>263</v>
      </c>
      <c r="AD135" s="147"/>
      <c r="AE135" s="247" t="s">
        <v>257</v>
      </c>
      <c r="AF135" s="105"/>
      <c r="AG135" s="146"/>
      <c r="AH135" s="3">
        <f t="shared" si="28"/>
        <v>0</v>
      </c>
      <c r="AI135" s="139">
        <v>0</v>
      </c>
    </row>
    <row r="136" spans="2:38" s="138" customFormat="1" ht="42.75" customHeight="1" x14ac:dyDescent="0.25">
      <c r="B136" s="1013"/>
      <c r="C136" s="1013"/>
      <c r="D136" s="1013"/>
      <c r="E136" s="1013"/>
      <c r="F136" s="1013"/>
      <c r="G136" s="1030"/>
      <c r="H136" s="1021"/>
      <c r="I136" s="153" t="s">
        <v>29</v>
      </c>
      <c r="J136" s="153">
        <v>229</v>
      </c>
      <c r="K136" s="375" t="s">
        <v>262</v>
      </c>
      <c r="L136" s="224" t="s">
        <v>122</v>
      </c>
      <c r="M136" s="373">
        <v>5</v>
      </c>
      <c r="N136" s="212" t="s">
        <v>56</v>
      </c>
      <c r="O136" s="372"/>
      <c r="P136" s="371"/>
      <c r="Q136" s="371"/>
      <c r="R136" s="361">
        <v>15000000</v>
      </c>
      <c r="S136" s="371"/>
      <c r="T136" s="371"/>
      <c r="U136" s="371"/>
      <c r="V136" s="370">
        <f t="shared" si="23"/>
        <v>15000000</v>
      </c>
      <c r="W136" s="369">
        <f t="shared" si="27"/>
        <v>15000000</v>
      </c>
      <c r="X136" s="232"/>
      <c r="Y136" s="368">
        <v>15000000</v>
      </c>
      <c r="Z136" s="88">
        <f t="shared" si="16"/>
        <v>15000000</v>
      </c>
      <c r="AA136" s="106">
        <v>41355</v>
      </c>
      <c r="AB136" s="105">
        <v>34</v>
      </c>
      <c r="AC136" s="367" t="s">
        <v>261</v>
      </c>
      <c r="AD136" s="147"/>
      <c r="AE136" s="247" t="s">
        <v>257</v>
      </c>
      <c r="AF136" s="105"/>
      <c r="AG136" s="146"/>
      <c r="AH136" s="3">
        <f t="shared" si="28"/>
        <v>0</v>
      </c>
      <c r="AI136" s="139">
        <v>0</v>
      </c>
    </row>
    <row r="137" spans="2:38" s="138" customFormat="1" ht="40.5" customHeight="1" x14ac:dyDescent="0.25">
      <c r="B137" s="1013"/>
      <c r="C137" s="1013"/>
      <c r="D137" s="1013"/>
      <c r="E137" s="1013"/>
      <c r="F137" s="1013"/>
      <c r="G137" s="1030"/>
      <c r="H137" s="1021"/>
      <c r="I137" s="153" t="s">
        <v>29</v>
      </c>
      <c r="J137" s="153">
        <v>296</v>
      </c>
      <c r="K137" s="374" t="s">
        <v>260</v>
      </c>
      <c r="L137" s="223" t="s">
        <v>75</v>
      </c>
      <c r="M137" s="373">
        <v>6</v>
      </c>
      <c r="N137" s="212" t="s">
        <v>56</v>
      </c>
      <c r="O137" s="372"/>
      <c r="P137" s="371"/>
      <c r="Q137" s="371"/>
      <c r="R137" s="361">
        <f>20000000+6000000</f>
        <v>26000000</v>
      </c>
      <c r="S137" s="371"/>
      <c r="T137" s="371"/>
      <c r="U137" s="371"/>
      <c r="V137" s="370">
        <f t="shared" si="23"/>
        <v>26000000</v>
      </c>
      <c r="W137" s="369">
        <f t="shared" si="27"/>
        <v>26000000</v>
      </c>
      <c r="X137" s="232"/>
      <c r="Y137" s="368">
        <v>26000000</v>
      </c>
      <c r="Z137" s="88">
        <f t="shared" si="16"/>
        <v>26000000</v>
      </c>
      <c r="AA137" s="106">
        <v>41474</v>
      </c>
      <c r="AB137" s="105">
        <v>69</v>
      </c>
      <c r="AC137" s="367" t="s">
        <v>259</v>
      </c>
      <c r="AD137" s="147"/>
      <c r="AE137" s="247" t="s">
        <v>257</v>
      </c>
      <c r="AF137" s="105"/>
      <c r="AG137" s="146"/>
      <c r="AH137" s="3">
        <f t="shared" si="28"/>
        <v>0</v>
      </c>
      <c r="AI137" s="139">
        <v>0</v>
      </c>
    </row>
    <row r="138" spans="2:38" s="138" customFormat="1" ht="48.75" customHeight="1" x14ac:dyDescent="0.25">
      <c r="B138" s="1013"/>
      <c r="C138" s="1013"/>
      <c r="D138" s="1013"/>
      <c r="E138" s="1013"/>
      <c r="F138" s="1013"/>
      <c r="G138" s="1030"/>
      <c r="H138" s="1021"/>
      <c r="I138" s="153" t="s">
        <v>29</v>
      </c>
      <c r="J138" s="153">
        <v>252</v>
      </c>
      <c r="K138" s="374" t="s">
        <v>258</v>
      </c>
      <c r="L138" s="223" t="s">
        <v>36</v>
      </c>
      <c r="M138" s="373">
        <v>4</v>
      </c>
      <c r="N138" s="212" t="s">
        <v>56</v>
      </c>
      <c r="O138" s="372"/>
      <c r="P138" s="371"/>
      <c r="Q138" s="371"/>
      <c r="R138" s="361">
        <v>17000000</v>
      </c>
      <c r="S138" s="371"/>
      <c r="T138" s="371"/>
      <c r="U138" s="371"/>
      <c r="V138" s="370">
        <f t="shared" si="23"/>
        <v>17000000</v>
      </c>
      <c r="W138" s="369">
        <f t="shared" si="27"/>
        <v>17000000</v>
      </c>
      <c r="X138" s="232"/>
      <c r="Y138" s="368">
        <v>17000000</v>
      </c>
      <c r="Z138" s="88">
        <f t="shared" si="16"/>
        <v>17000000</v>
      </c>
      <c r="AA138" s="106">
        <v>41383</v>
      </c>
      <c r="AB138" s="105">
        <v>42</v>
      </c>
      <c r="AC138" s="367" t="s">
        <v>172</v>
      </c>
      <c r="AD138" s="147"/>
      <c r="AE138" s="247" t="s">
        <v>257</v>
      </c>
      <c r="AF138" s="105"/>
      <c r="AG138" s="146"/>
      <c r="AH138" s="3">
        <f t="shared" si="28"/>
        <v>0</v>
      </c>
      <c r="AI138" s="139">
        <v>0</v>
      </c>
    </row>
    <row r="139" spans="2:38" s="138" customFormat="1" ht="18.75" customHeight="1" x14ac:dyDescent="0.25">
      <c r="B139" s="1013"/>
      <c r="C139" s="1013"/>
      <c r="D139" s="1013"/>
      <c r="E139" s="1013"/>
      <c r="F139" s="1013"/>
      <c r="G139" s="1030"/>
      <c r="H139" s="1022"/>
      <c r="I139" s="153" t="s">
        <v>29</v>
      </c>
      <c r="J139" s="153">
        <v>303</v>
      </c>
      <c r="K139" s="374" t="s">
        <v>256</v>
      </c>
      <c r="L139" s="223" t="s">
        <v>151</v>
      </c>
      <c r="M139" s="373">
        <v>1</v>
      </c>
      <c r="N139" s="212" t="s">
        <v>56</v>
      </c>
      <c r="O139" s="372"/>
      <c r="P139" s="371"/>
      <c r="Q139" s="371"/>
      <c r="R139" s="361">
        <v>5000000</v>
      </c>
      <c r="S139" s="371"/>
      <c r="T139" s="371"/>
      <c r="U139" s="371"/>
      <c r="V139" s="370">
        <f t="shared" si="23"/>
        <v>5000000</v>
      </c>
      <c r="W139" s="369">
        <f t="shared" si="27"/>
        <v>5000000</v>
      </c>
      <c r="Y139" s="368">
        <v>5000000</v>
      </c>
      <c r="Z139" s="88">
        <f t="shared" si="16"/>
        <v>5000000</v>
      </c>
      <c r="AA139" s="106">
        <v>41495</v>
      </c>
      <c r="AB139" s="105">
        <v>42</v>
      </c>
      <c r="AC139" s="367" t="s">
        <v>172</v>
      </c>
      <c r="AD139" s="147"/>
      <c r="AE139" s="247" t="s">
        <v>255</v>
      </c>
      <c r="AF139" s="105"/>
      <c r="AG139" s="146"/>
      <c r="AH139" s="3">
        <f t="shared" si="28"/>
        <v>0</v>
      </c>
      <c r="AI139" s="139">
        <v>0</v>
      </c>
    </row>
    <row r="140" spans="2:38" s="138" customFormat="1" ht="19.5" customHeight="1" x14ac:dyDescent="0.25">
      <c r="B140" s="1014"/>
      <c r="C140" s="1014"/>
      <c r="D140" s="1014"/>
      <c r="E140" s="1014"/>
      <c r="F140" s="1014"/>
      <c r="G140" s="1019" t="s">
        <v>24</v>
      </c>
      <c r="H140" s="1019"/>
      <c r="I140" s="1019"/>
      <c r="J140" s="1019"/>
      <c r="K140" s="1019"/>
      <c r="L140" s="194"/>
      <c r="M140" s="194"/>
      <c r="N140" s="194"/>
      <c r="O140" s="82">
        <f>SUM(O127:O139)</f>
        <v>0</v>
      </c>
      <c r="P140" s="82">
        <f>SUM(P127:P139)</f>
        <v>0</v>
      </c>
      <c r="Q140" s="82">
        <f t="shared" ref="Q140:Q147" si="29">+O140+P140</f>
        <v>0</v>
      </c>
      <c r="R140" s="82">
        <f>SUM(R127:R139)</f>
        <v>230500000</v>
      </c>
      <c r="S140" s="144"/>
      <c r="T140" s="144"/>
      <c r="U140" s="144"/>
      <c r="V140" s="145">
        <f>SUM(V127:V139)</f>
        <v>230500000</v>
      </c>
      <c r="W140" s="82">
        <f>+O140+R140</f>
        <v>230500000</v>
      </c>
      <c r="X140" s="227">
        <f>SUM(X127:X138)</f>
        <v>0</v>
      </c>
      <c r="Y140" s="227">
        <f>SUM(Y127:Y139)</f>
        <v>215500000</v>
      </c>
      <c r="Z140" s="88">
        <f t="shared" si="16"/>
        <v>215500000</v>
      </c>
      <c r="AA140" s="78"/>
      <c r="AB140" s="78"/>
      <c r="AC140" s="78"/>
      <c r="AD140" s="79">
        <f>+Z140/W140</f>
        <v>0.93492407809110634</v>
      </c>
      <c r="AE140" s="366"/>
      <c r="AF140" s="78">
        <f>SUM(AF127:AF139)</f>
        <v>0</v>
      </c>
      <c r="AG140" s="226">
        <f>SUM(AG127:AG139)</f>
        <v>0</v>
      </c>
      <c r="AH140" s="3"/>
      <c r="AI140" s="139"/>
    </row>
    <row r="141" spans="2:38" ht="60" customHeight="1" x14ac:dyDescent="0.25">
      <c r="B141" s="1041" t="str">
        <f>+B127</f>
        <v>Proyecto No. 702 : Investigación e innovación para la construcción de conocimiento educativo y pedagógico.</v>
      </c>
      <c r="C141" s="1074" t="str">
        <f>+C127</f>
        <v>EDUCACIÓN Y POLÍTICAS PÚBLICAS</v>
      </c>
      <c r="D141" s="1012" t="str">
        <f>+D127</f>
        <v>Desarrollar 16 estudios  en Educación y Políticas Públicas</v>
      </c>
      <c r="E141" s="1012" t="str">
        <f>+E127</f>
        <v>Desarrollar 4 estudios en Educación y Políticas Públicas</v>
      </c>
      <c r="F141" s="1012" t="str">
        <f>+F127</f>
        <v>Porcentaje de avance de los Estudios desarrollados en Educación y Políticas Públicas.</v>
      </c>
      <c r="G141" s="1026" t="s">
        <v>254</v>
      </c>
      <c r="H141" s="1023" t="s">
        <v>253</v>
      </c>
      <c r="I141" s="365" t="s">
        <v>29</v>
      </c>
      <c r="J141" s="212">
        <v>231</v>
      </c>
      <c r="K141" s="363" t="s">
        <v>252</v>
      </c>
      <c r="L141" s="243" t="s">
        <v>122</v>
      </c>
      <c r="M141" s="242">
        <v>10</v>
      </c>
      <c r="N141" s="242" t="s">
        <v>56</v>
      </c>
      <c r="O141" s="262">
        <f>88000000-23155000</f>
        <v>64845000</v>
      </c>
      <c r="P141" s="361"/>
      <c r="Q141" s="94">
        <f t="shared" si="29"/>
        <v>64845000</v>
      </c>
      <c r="R141" s="361"/>
      <c r="S141" s="361"/>
      <c r="T141" s="361"/>
      <c r="U141" s="361"/>
      <c r="V141" s="360"/>
      <c r="W141" s="91">
        <f t="shared" ref="W141:W147" si="30">+Q141+V141</f>
        <v>64845000</v>
      </c>
      <c r="X141" s="232">
        <v>64845000</v>
      </c>
      <c r="Y141" s="50"/>
      <c r="Z141" s="88">
        <f t="shared" si="16"/>
        <v>64845000</v>
      </c>
      <c r="AA141" s="87">
        <v>41540</v>
      </c>
      <c r="AB141" s="50">
        <v>111</v>
      </c>
      <c r="AC141" s="50" t="s">
        <v>251</v>
      </c>
      <c r="AD141" s="103"/>
      <c r="AE141" s="105"/>
      <c r="AF141" s="50"/>
      <c r="AG141" s="49"/>
      <c r="AH141" s="3">
        <f>+AI141/Z141</f>
        <v>0.8</v>
      </c>
      <c r="AI141" s="2">
        <v>51876000</v>
      </c>
    </row>
    <row r="142" spans="2:38" ht="55.5" customHeight="1" x14ac:dyDescent="0.25">
      <c r="B142" s="1042"/>
      <c r="C142" s="1075"/>
      <c r="D142" s="1013"/>
      <c r="E142" s="1013"/>
      <c r="F142" s="1013"/>
      <c r="G142" s="1027"/>
      <c r="H142" s="1024"/>
      <c r="I142" s="212" t="s">
        <v>29</v>
      </c>
      <c r="J142" s="212">
        <v>232</v>
      </c>
      <c r="K142" s="363" t="s">
        <v>250</v>
      </c>
      <c r="L142" s="243" t="s">
        <v>122</v>
      </c>
      <c r="M142" s="242">
        <v>10</v>
      </c>
      <c r="N142" s="242" t="s">
        <v>56</v>
      </c>
      <c r="O142" s="262">
        <v>56000000</v>
      </c>
      <c r="P142" s="361"/>
      <c r="Q142" s="94">
        <f t="shared" si="29"/>
        <v>56000000</v>
      </c>
      <c r="R142" s="361"/>
      <c r="S142" s="361"/>
      <c r="T142" s="361"/>
      <c r="U142" s="361"/>
      <c r="V142" s="360"/>
      <c r="W142" s="91">
        <f t="shared" si="30"/>
        <v>56000000</v>
      </c>
      <c r="X142" s="232">
        <v>56000000</v>
      </c>
      <c r="Y142" s="50"/>
      <c r="Z142" s="88">
        <f t="shared" si="16"/>
        <v>56000000</v>
      </c>
      <c r="AA142" s="87">
        <v>41509</v>
      </c>
      <c r="AB142" s="50">
        <v>87</v>
      </c>
      <c r="AC142" s="50" t="s">
        <v>249</v>
      </c>
      <c r="AD142" s="103"/>
      <c r="AE142" s="50"/>
      <c r="AF142" s="50"/>
      <c r="AG142" s="49"/>
      <c r="AH142" s="3">
        <f>+AI142/Z142</f>
        <v>0.92635714285714288</v>
      </c>
      <c r="AI142" s="2">
        <v>51876000</v>
      </c>
    </row>
    <row r="143" spans="2:38" ht="36.75" customHeight="1" x14ac:dyDescent="0.25">
      <c r="B143" s="1042"/>
      <c r="C143" s="1075"/>
      <c r="D143" s="1013"/>
      <c r="E143" s="1013"/>
      <c r="F143" s="1013"/>
      <c r="G143" s="1027"/>
      <c r="H143" s="1024"/>
      <c r="I143" s="212" t="s">
        <v>29</v>
      </c>
      <c r="J143" s="212">
        <v>233</v>
      </c>
      <c r="K143" s="363" t="s">
        <v>248</v>
      </c>
      <c r="L143" s="243" t="s">
        <v>122</v>
      </c>
      <c r="M143" s="242">
        <v>10</v>
      </c>
      <c r="N143" s="242" t="s">
        <v>56</v>
      </c>
      <c r="O143" s="262">
        <v>56000000</v>
      </c>
      <c r="P143" s="361"/>
      <c r="Q143" s="94">
        <f t="shared" si="29"/>
        <v>56000000</v>
      </c>
      <c r="R143" s="361"/>
      <c r="S143" s="361"/>
      <c r="T143" s="361"/>
      <c r="U143" s="361"/>
      <c r="V143" s="360"/>
      <c r="W143" s="91">
        <f t="shared" si="30"/>
        <v>56000000</v>
      </c>
      <c r="X143" s="232">
        <v>56000000</v>
      </c>
      <c r="Y143" s="50"/>
      <c r="Z143" s="88">
        <f t="shared" si="16"/>
        <v>56000000</v>
      </c>
      <c r="AA143" s="87">
        <v>41509</v>
      </c>
      <c r="AB143" s="50">
        <v>85</v>
      </c>
      <c r="AC143" s="50" t="s">
        <v>247</v>
      </c>
      <c r="AD143" s="103"/>
      <c r="AE143" s="50"/>
      <c r="AF143" s="50"/>
      <c r="AG143" s="49"/>
      <c r="AH143" s="3">
        <f>+AI143/Z143</f>
        <v>0.7</v>
      </c>
      <c r="AI143" s="2">
        <v>39200000</v>
      </c>
      <c r="AL143" s="13"/>
    </row>
    <row r="144" spans="2:38" ht="1.5" customHeight="1" x14ac:dyDescent="0.25">
      <c r="B144" s="1042"/>
      <c r="C144" s="1075"/>
      <c r="D144" s="1013"/>
      <c r="E144" s="1013"/>
      <c r="F144" s="1013"/>
      <c r="G144" s="1027"/>
      <c r="H144" s="1024"/>
      <c r="I144" s="212"/>
      <c r="J144" s="212"/>
      <c r="K144" s="363" t="s">
        <v>246</v>
      </c>
      <c r="L144" s="243" t="s">
        <v>122</v>
      </c>
      <c r="M144" s="242">
        <v>10</v>
      </c>
      <c r="N144" s="242" t="s">
        <v>56</v>
      </c>
      <c r="O144" s="262">
        <f>56000000-56000000</f>
        <v>0</v>
      </c>
      <c r="P144" s="361"/>
      <c r="Q144" s="94">
        <f t="shared" si="29"/>
        <v>0</v>
      </c>
      <c r="R144" s="361"/>
      <c r="S144" s="361"/>
      <c r="T144" s="361"/>
      <c r="U144" s="361"/>
      <c r="V144" s="360"/>
      <c r="W144" s="91">
        <f t="shared" si="30"/>
        <v>0</v>
      </c>
      <c r="X144" s="232"/>
      <c r="Y144" s="50"/>
      <c r="Z144" s="88">
        <f t="shared" si="16"/>
        <v>0</v>
      </c>
      <c r="AA144" s="50"/>
      <c r="AB144" s="50"/>
      <c r="AC144" s="50"/>
      <c r="AD144" s="103"/>
      <c r="AE144" s="50"/>
      <c r="AF144" s="50"/>
      <c r="AG144" s="49"/>
      <c r="AH144" s="3" t="e">
        <f>+AI144/Z144</f>
        <v>#DIV/0!</v>
      </c>
      <c r="AL144" s="364"/>
    </row>
    <row r="145" spans="2:41" ht="25.5" x14ac:dyDescent="0.25">
      <c r="B145" s="1042"/>
      <c r="C145" s="1075"/>
      <c r="D145" s="1013"/>
      <c r="E145" s="1013"/>
      <c r="F145" s="1013"/>
      <c r="G145" s="1027"/>
      <c r="H145" s="1024"/>
      <c r="I145" s="212"/>
      <c r="J145" s="212"/>
      <c r="K145" s="363" t="s">
        <v>245</v>
      </c>
      <c r="L145" s="243" t="s">
        <v>122</v>
      </c>
      <c r="M145" s="242">
        <v>10</v>
      </c>
      <c r="N145" s="242" t="s">
        <v>56</v>
      </c>
      <c r="O145" s="262">
        <f>56000000-56000000</f>
        <v>0</v>
      </c>
      <c r="P145" s="361"/>
      <c r="Q145" s="94">
        <f t="shared" si="29"/>
        <v>0</v>
      </c>
      <c r="R145" s="361"/>
      <c r="S145" s="361"/>
      <c r="T145" s="361"/>
      <c r="U145" s="361"/>
      <c r="V145" s="360"/>
      <c r="W145" s="91">
        <f t="shared" si="30"/>
        <v>0</v>
      </c>
      <c r="X145" s="232"/>
      <c r="Y145" s="50"/>
      <c r="Z145" s="88">
        <f t="shared" si="16"/>
        <v>0</v>
      </c>
      <c r="AA145" s="50"/>
      <c r="AB145" s="50"/>
      <c r="AC145" s="50"/>
      <c r="AD145" s="103"/>
      <c r="AE145" s="50"/>
      <c r="AF145" s="50"/>
      <c r="AG145" s="49"/>
      <c r="AL145" s="356"/>
    </row>
    <row r="146" spans="2:41" ht="55.5" customHeight="1" x14ac:dyDescent="0.25">
      <c r="B146" s="1042"/>
      <c r="C146" s="1075"/>
      <c r="D146" s="1013"/>
      <c r="E146" s="1013"/>
      <c r="F146" s="1013"/>
      <c r="G146" s="1027"/>
      <c r="H146" s="1024"/>
      <c r="I146" s="212" t="s">
        <v>29</v>
      </c>
      <c r="J146" s="212">
        <v>319</v>
      </c>
      <c r="K146" s="363" t="s">
        <v>174</v>
      </c>
      <c r="L146" s="243" t="s">
        <v>151</v>
      </c>
      <c r="M146" s="242">
        <v>9</v>
      </c>
      <c r="N146" s="242" t="s">
        <v>56</v>
      </c>
      <c r="O146" s="262">
        <v>10000000</v>
      </c>
      <c r="P146" s="361"/>
      <c r="Q146" s="94">
        <f t="shared" si="29"/>
        <v>10000000</v>
      </c>
      <c r="R146" s="361"/>
      <c r="S146" s="361"/>
      <c r="T146" s="361"/>
      <c r="U146" s="361"/>
      <c r="V146" s="360"/>
      <c r="W146" s="91">
        <f t="shared" si="30"/>
        <v>10000000</v>
      </c>
      <c r="X146" s="232">
        <v>10000000</v>
      </c>
      <c r="Y146" s="50"/>
      <c r="Z146" s="88">
        <f t="shared" si="16"/>
        <v>10000000</v>
      </c>
      <c r="AA146" s="87">
        <v>41572</v>
      </c>
      <c r="AB146" s="50">
        <v>120</v>
      </c>
      <c r="AC146" s="50" t="s">
        <v>172</v>
      </c>
      <c r="AD146" s="103"/>
      <c r="AE146" s="50"/>
      <c r="AF146" s="50"/>
      <c r="AG146" s="49"/>
      <c r="AI146" s="271"/>
      <c r="AM146" s="356"/>
      <c r="AO146" s="356"/>
    </row>
    <row r="147" spans="2:41" ht="51" customHeight="1" x14ac:dyDescent="0.25">
      <c r="B147" s="1042"/>
      <c r="C147" s="1075"/>
      <c r="D147" s="1013"/>
      <c r="E147" s="1013"/>
      <c r="F147" s="1013"/>
      <c r="G147" s="1027"/>
      <c r="H147" s="1024"/>
      <c r="I147" s="212" t="s">
        <v>29</v>
      </c>
      <c r="J147" s="212">
        <v>279</v>
      </c>
      <c r="K147" s="362" t="s">
        <v>244</v>
      </c>
      <c r="L147" s="243" t="s">
        <v>60</v>
      </c>
      <c r="M147" s="269">
        <v>1</v>
      </c>
      <c r="N147" s="269" t="s">
        <v>47</v>
      </c>
      <c r="O147" s="262">
        <v>9298725</v>
      </c>
      <c r="P147" s="361"/>
      <c r="Q147" s="94">
        <f t="shared" si="29"/>
        <v>9298725</v>
      </c>
      <c r="R147" s="361"/>
      <c r="S147" s="361"/>
      <c r="T147" s="361"/>
      <c r="U147" s="361"/>
      <c r="V147" s="360"/>
      <c r="W147" s="91">
        <f t="shared" si="30"/>
        <v>9298725</v>
      </c>
      <c r="X147" s="232">
        <v>9298725</v>
      </c>
      <c r="Y147" s="50"/>
      <c r="Z147" s="88">
        <f t="shared" si="16"/>
        <v>9298725</v>
      </c>
      <c r="AA147" s="87">
        <v>41556</v>
      </c>
      <c r="AB147" s="50">
        <v>117</v>
      </c>
      <c r="AC147" s="50" t="s">
        <v>126</v>
      </c>
      <c r="AD147" s="103"/>
      <c r="AE147" s="50"/>
      <c r="AF147" s="50"/>
      <c r="AG147" s="49"/>
      <c r="AH147" s="3">
        <f>+AI147/Z147</f>
        <v>0</v>
      </c>
      <c r="AI147" s="240"/>
      <c r="AO147" s="356"/>
    </row>
    <row r="148" spans="2:41" ht="51" customHeight="1" x14ac:dyDescent="0.25">
      <c r="B148" s="1042"/>
      <c r="C148" s="1075"/>
      <c r="D148" s="1013"/>
      <c r="E148" s="1013"/>
      <c r="F148" s="1013"/>
      <c r="G148" s="1027"/>
      <c r="H148" s="1024"/>
      <c r="I148" s="355"/>
      <c r="J148" s="212"/>
      <c r="K148" s="359" t="s">
        <v>243</v>
      </c>
      <c r="L148" s="238"/>
      <c r="M148" s="238"/>
      <c r="N148" s="238"/>
      <c r="O148" s="358">
        <f>10000000-9298725</f>
        <v>701275</v>
      </c>
      <c r="P148" s="357"/>
      <c r="Q148" s="205"/>
      <c r="R148" s="357"/>
      <c r="S148" s="357"/>
      <c r="T148" s="357"/>
      <c r="U148" s="357"/>
      <c r="V148" s="204"/>
      <c r="W148" s="203">
        <f>+O148+R148</f>
        <v>701275</v>
      </c>
      <c r="X148" s="232"/>
      <c r="Y148" s="50"/>
      <c r="Z148" s="88">
        <f t="shared" si="16"/>
        <v>0</v>
      </c>
      <c r="AA148" s="50"/>
      <c r="AB148" s="50"/>
      <c r="AC148" s="50"/>
      <c r="AD148" s="103"/>
      <c r="AE148" s="50"/>
      <c r="AF148" s="50"/>
      <c r="AG148" s="49"/>
      <c r="AO148" s="356"/>
    </row>
    <row r="149" spans="2:41" ht="50.25" customHeight="1" x14ac:dyDescent="0.25">
      <c r="B149" s="1042"/>
      <c r="C149" s="1075"/>
      <c r="D149" s="1013"/>
      <c r="E149" s="1013"/>
      <c r="F149" s="1013"/>
      <c r="G149" s="1027"/>
      <c r="H149" s="1024"/>
      <c r="I149" s="355"/>
      <c r="J149" s="212"/>
      <c r="K149" s="353" t="s">
        <v>242</v>
      </c>
      <c r="L149" s="243" t="s">
        <v>151</v>
      </c>
      <c r="M149" s="242">
        <v>7</v>
      </c>
      <c r="N149" s="242" t="s">
        <v>118</v>
      </c>
      <c r="O149" s="352">
        <f>70000000-70000000</f>
        <v>0</v>
      </c>
      <c r="P149" s="287"/>
      <c r="Q149" s="116">
        <f>+O149+P149</f>
        <v>0</v>
      </c>
      <c r="R149" s="287"/>
      <c r="S149" s="287"/>
      <c r="T149" s="287"/>
      <c r="U149" s="287"/>
      <c r="V149" s="351"/>
      <c r="W149" s="91">
        <f>+Q149+V149</f>
        <v>0</v>
      </c>
      <c r="X149" s="232"/>
      <c r="Y149" s="50"/>
      <c r="Z149" s="88">
        <f t="shared" si="16"/>
        <v>0</v>
      </c>
      <c r="AA149" s="50"/>
      <c r="AB149" s="50"/>
      <c r="AC149" s="50"/>
      <c r="AD149" s="103"/>
      <c r="AE149" s="50"/>
      <c r="AF149" s="50"/>
      <c r="AG149" s="49"/>
    </row>
    <row r="150" spans="2:41" ht="46.5" customHeight="1" x14ac:dyDescent="0.25">
      <c r="B150" s="1042"/>
      <c r="C150" s="1075"/>
      <c r="D150" s="1013"/>
      <c r="E150" s="1013"/>
      <c r="F150" s="1013"/>
      <c r="G150" s="1027"/>
      <c r="H150" s="1024"/>
      <c r="I150" s="355"/>
      <c r="J150" s="212"/>
      <c r="K150" s="353" t="s">
        <v>241</v>
      </c>
      <c r="L150" s="243" t="s">
        <v>151</v>
      </c>
      <c r="M150" s="242">
        <v>7</v>
      </c>
      <c r="N150" s="242" t="s">
        <v>118</v>
      </c>
      <c r="O150" s="352">
        <f>98000000-98000000</f>
        <v>0</v>
      </c>
      <c r="P150" s="287"/>
      <c r="Q150" s="116">
        <f>+O150+P150</f>
        <v>0</v>
      </c>
      <c r="R150" s="287"/>
      <c r="S150" s="287"/>
      <c r="T150" s="287"/>
      <c r="U150" s="287"/>
      <c r="V150" s="351"/>
      <c r="W150" s="91">
        <f>+Q150+V150</f>
        <v>0</v>
      </c>
      <c r="X150" s="232"/>
      <c r="Y150" s="50"/>
      <c r="Z150" s="88">
        <f t="shared" ref="Z150:Z213" si="31">+X150+Y150</f>
        <v>0</v>
      </c>
      <c r="AA150" s="50"/>
      <c r="AB150" s="50"/>
      <c r="AC150" s="50"/>
      <c r="AD150" s="103"/>
      <c r="AE150" s="50"/>
      <c r="AF150" s="50"/>
      <c r="AG150" s="49"/>
    </row>
    <row r="151" spans="2:41" ht="70.5" customHeight="1" x14ac:dyDescent="0.25">
      <c r="B151" s="1042"/>
      <c r="C151" s="1075"/>
      <c r="D151" s="1013"/>
      <c r="E151" s="1013"/>
      <c r="F151" s="1013"/>
      <c r="G151" s="1028"/>
      <c r="H151" s="1025"/>
      <c r="I151" s="354" t="s">
        <v>29</v>
      </c>
      <c r="J151" s="212">
        <v>331</v>
      </c>
      <c r="K151" s="353" t="s">
        <v>240</v>
      </c>
      <c r="L151" s="243"/>
      <c r="M151" s="242"/>
      <c r="N151" s="242"/>
      <c r="O151" s="352">
        <f>2511886+687992000</f>
        <v>690503886</v>
      </c>
      <c r="P151" s="287"/>
      <c r="Q151" s="116"/>
      <c r="R151" s="283">
        <v>82861500</v>
      </c>
      <c r="S151" s="287"/>
      <c r="T151" s="287"/>
      <c r="U151" s="287"/>
      <c r="V151" s="351"/>
      <c r="W151" s="91">
        <f>+O151+R151</f>
        <v>773365386</v>
      </c>
      <c r="X151" s="232">
        <v>690503886</v>
      </c>
      <c r="Y151" s="137">
        <v>82861500</v>
      </c>
      <c r="Z151" s="88">
        <f t="shared" si="31"/>
        <v>773365386</v>
      </c>
      <c r="AA151" s="50"/>
      <c r="AB151" s="50">
        <v>98</v>
      </c>
      <c r="AC151" s="50" t="s">
        <v>239</v>
      </c>
      <c r="AD151" s="103"/>
      <c r="AE151" s="86" t="s">
        <v>231</v>
      </c>
      <c r="AF151" s="107">
        <f>+R151</f>
        <v>82861500</v>
      </c>
      <c r="AG151" s="342">
        <f>+AF151</f>
        <v>82861500</v>
      </c>
      <c r="AH151" s="3">
        <f>+AI151/Z151</f>
        <v>0.60000000051721991</v>
      </c>
      <c r="AI151" s="2">
        <v>464019232</v>
      </c>
    </row>
    <row r="152" spans="2:41" ht="35.25" customHeight="1" x14ac:dyDescent="0.25">
      <c r="B152" s="1042"/>
      <c r="C152" s="1075"/>
      <c r="D152" s="1013"/>
      <c r="E152" s="1013"/>
      <c r="F152" s="1013"/>
      <c r="G152" s="1019" t="s">
        <v>24</v>
      </c>
      <c r="H152" s="1019"/>
      <c r="I152" s="1019"/>
      <c r="J152" s="1019"/>
      <c r="K152" s="1019"/>
      <c r="L152" s="102"/>
      <c r="M152" s="102"/>
      <c r="N152" s="102"/>
      <c r="O152" s="82">
        <f>SUM(O141:O151)</f>
        <v>887348886</v>
      </c>
      <c r="P152" s="82">
        <f>+P141+P142+P143+P144+P145+P146+P147+P149+P150</f>
        <v>0</v>
      </c>
      <c r="Q152" s="82">
        <f>+Q141+Q142+Q143+Q144+Q145+Q146+Q147+Q149+Q150</f>
        <v>196143725</v>
      </c>
      <c r="R152" s="82">
        <f>+R151</f>
        <v>82861500</v>
      </c>
      <c r="S152" s="82">
        <f>+S141+S142+S143+S144+S145+S146+S147+S149+S150</f>
        <v>0</v>
      </c>
      <c r="T152" s="82">
        <f>+T141+T142+T143+T144+T145+T146+T147+T149+T150</f>
        <v>0</v>
      </c>
      <c r="U152" s="82">
        <f>+U141+U142+U143+U144+U145+U146+U147+U149+U150</f>
        <v>0</v>
      </c>
      <c r="V152" s="82">
        <f>+V141+V142+V143+V144+V145+V146+V147+V149+V150</f>
        <v>0</v>
      </c>
      <c r="W152" s="82">
        <f>SUM(W141:W151)</f>
        <v>970210386</v>
      </c>
      <c r="X152" s="227">
        <f>SUM(X141:X151)</f>
        <v>886647611</v>
      </c>
      <c r="Y152" s="227">
        <f>SUM(Y141:Y151)</f>
        <v>82861500</v>
      </c>
      <c r="Z152" s="88">
        <f t="shared" si="31"/>
        <v>969509111</v>
      </c>
      <c r="AA152" s="78"/>
      <c r="AB152" s="78"/>
      <c r="AC152" s="350"/>
      <c r="AD152" s="79">
        <f>+Z152/W152</f>
        <v>0.99927719285412808</v>
      </c>
      <c r="AE152" s="78"/>
      <c r="AF152" s="349">
        <f>SUM(AF141:AF151)</f>
        <v>82861500</v>
      </c>
      <c r="AG152" s="348">
        <f>SUM(AG141:AG151)</f>
        <v>82861500</v>
      </c>
    </row>
    <row r="153" spans="2:41" ht="39.75" customHeight="1" x14ac:dyDescent="0.25">
      <c r="B153" s="1042"/>
      <c r="C153" s="1075"/>
      <c r="D153" s="1013"/>
      <c r="E153" s="1013"/>
      <c r="F153" s="1013"/>
      <c r="G153" s="1044" t="s">
        <v>238</v>
      </c>
      <c r="H153" s="1044"/>
      <c r="I153" s="1044"/>
      <c r="J153" s="1044"/>
      <c r="K153" s="1044"/>
      <c r="L153" s="333"/>
      <c r="M153" s="333"/>
      <c r="N153" s="333"/>
      <c r="O153" s="74">
        <f t="shared" ref="O153:Y153" si="32">+O152+O140+O126+O118+O115+O100</f>
        <v>1252511886</v>
      </c>
      <c r="P153" s="74">
        <f t="shared" si="32"/>
        <v>0</v>
      </c>
      <c r="Q153" s="74">
        <f t="shared" si="32"/>
        <v>546306725</v>
      </c>
      <c r="R153" s="74">
        <f t="shared" si="32"/>
        <v>637500000</v>
      </c>
      <c r="S153" s="74">
        <f t="shared" si="32"/>
        <v>340000000</v>
      </c>
      <c r="T153" s="74">
        <f t="shared" si="32"/>
        <v>340000000</v>
      </c>
      <c r="U153" s="74">
        <f t="shared" si="32"/>
        <v>0</v>
      </c>
      <c r="V153" s="74">
        <f t="shared" si="32"/>
        <v>507468000</v>
      </c>
      <c r="W153" s="74">
        <f t="shared" si="32"/>
        <v>1890011886</v>
      </c>
      <c r="X153" s="74">
        <f t="shared" si="32"/>
        <v>1251810611</v>
      </c>
      <c r="Y153" s="74">
        <f t="shared" si="32"/>
        <v>622445724</v>
      </c>
      <c r="Z153" s="88">
        <f t="shared" si="31"/>
        <v>1874256335</v>
      </c>
      <c r="AA153" s="71"/>
      <c r="AB153" s="71"/>
      <c r="AC153" s="71"/>
      <c r="AD153" s="70">
        <f>+Z153/W153</f>
        <v>0.99166378205517802</v>
      </c>
      <c r="AE153" s="71"/>
      <c r="AF153" s="347">
        <f>+AF100+AF115+AF118+AF126+AF140+AF151</f>
        <v>339968000</v>
      </c>
      <c r="AG153" s="346">
        <f>+AG100+AG115+AG118+AG126+AG140+AG151</f>
        <v>339968000</v>
      </c>
    </row>
    <row r="154" spans="2:41" ht="93" customHeight="1" x14ac:dyDescent="0.25">
      <c r="B154" s="1042"/>
      <c r="C154" s="1075"/>
      <c r="D154" s="1031" t="s">
        <v>161</v>
      </c>
      <c r="E154" s="1031" t="s">
        <v>237</v>
      </c>
      <c r="F154" s="1031" t="s">
        <v>236</v>
      </c>
      <c r="G154" s="1020" t="s">
        <v>235</v>
      </c>
      <c r="H154" s="1023" t="s">
        <v>234</v>
      </c>
      <c r="I154" s="212" t="s">
        <v>29</v>
      </c>
      <c r="J154" s="212">
        <v>230</v>
      </c>
      <c r="K154" s="345" t="s">
        <v>233</v>
      </c>
      <c r="L154" s="340" t="s">
        <v>122</v>
      </c>
      <c r="M154" s="340">
        <v>10</v>
      </c>
      <c r="N154" s="340" t="s">
        <v>56</v>
      </c>
      <c r="O154" s="344">
        <v>54845000</v>
      </c>
      <c r="P154" s="338"/>
      <c r="Q154" s="338">
        <f>+O154+P154</f>
        <v>54845000</v>
      </c>
      <c r="R154" s="283">
        <v>10000000</v>
      </c>
      <c r="S154" s="338">
        <v>10000000</v>
      </c>
      <c r="T154" s="338">
        <v>10000000</v>
      </c>
      <c r="U154" s="338"/>
      <c r="V154" s="337">
        <f>+R154+U154</f>
        <v>10000000</v>
      </c>
      <c r="W154" s="74">
        <f>+Q154+V154</f>
        <v>64845000</v>
      </c>
      <c r="X154" s="137">
        <v>54845000</v>
      </c>
      <c r="Y154" s="343">
        <v>10000000</v>
      </c>
      <c r="Z154" s="88">
        <f t="shared" si="31"/>
        <v>64845000</v>
      </c>
      <c r="AA154" s="87">
        <v>41354</v>
      </c>
      <c r="AB154" s="50">
        <v>32</v>
      </c>
      <c r="AC154" s="50" t="s">
        <v>232</v>
      </c>
      <c r="AD154" s="103"/>
      <c r="AE154" s="86" t="s">
        <v>231</v>
      </c>
      <c r="AF154" s="107">
        <f>+R154</f>
        <v>10000000</v>
      </c>
      <c r="AG154" s="342">
        <f>+AF154</f>
        <v>10000000</v>
      </c>
      <c r="AH154" s="3">
        <f>+AI154/Z154</f>
        <v>0.46</v>
      </c>
      <c r="AI154" s="2">
        <v>29828700</v>
      </c>
    </row>
    <row r="155" spans="2:41" ht="93" customHeight="1" x14ac:dyDescent="0.25">
      <c r="B155" s="1042"/>
      <c r="C155" s="1075"/>
      <c r="D155" s="1031"/>
      <c r="E155" s="1031"/>
      <c r="F155" s="1031"/>
      <c r="G155" s="1021"/>
      <c r="H155" s="1024"/>
      <c r="I155" s="212" t="s">
        <v>29</v>
      </c>
      <c r="J155" s="212">
        <v>178</v>
      </c>
      <c r="K155" s="264" t="s">
        <v>230</v>
      </c>
      <c r="L155" s="340" t="s">
        <v>122</v>
      </c>
      <c r="M155" s="340">
        <v>10</v>
      </c>
      <c r="N155" s="340" t="s">
        <v>56</v>
      </c>
      <c r="O155" s="339">
        <v>61000000</v>
      </c>
      <c r="P155" s="338"/>
      <c r="Q155" s="338">
        <f>+O155+P155</f>
        <v>61000000</v>
      </c>
      <c r="R155" s="338"/>
      <c r="S155" s="338"/>
      <c r="T155" s="338"/>
      <c r="U155" s="338"/>
      <c r="V155" s="337">
        <f>+R155+U155</f>
        <v>0</v>
      </c>
      <c r="W155" s="74">
        <f>+Q155+V155</f>
        <v>61000000</v>
      </c>
      <c r="X155" s="137">
        <v>61000000</v>
      </c>
      <c r="Y155" s="136"/>
      <c r="Z155" s="88">
        <f t="shared" si="31"/>
        <v>61000000</v>
      </c>
      <c r="AA155" s="87">
        <v>41354</v>
      </c>
      <c r="AB155" s="50">
        <v>30</v>
      </c>
      <c r="AC155" s="50" t="s">
        <v>229</v>
      </c>
      <c r="AD155" s="103"/>
      <c r="AE155" s="286"/>
      <c r="AF155" s="50"/>
      <c r="AG155" s="49"/>
      <c r="AH155" s="3">
        <f>+AI155/Z155</f>
        <v>0.28000000000000003</v>
      </c>
      <c r="AI155" s="2">
        <v>17080000</v>
      </c>
    </row>
    <row r="156" spans="2:41" ht="118.5" customHeight="1" x14ac:dyDescent="0.25">
      <c r="B156" s="1042"/>
      <c r="C156" s="1075"/>
      <c r="D156" s="1031"/>
      <c r="E156" s="1031"/>
      <c r="F156" s="1031"/>
      <c r="G156" s="1021"/>
      <c r="H156" s="1024"/>
      <c r="I156" s="212" t="s">
        <v>29</v>
      </c>
      <c r="J156" s="212">
        <v>179</v>
      </c>
      <c r="K156" s="244" t="s">
        <v>228</v>
      </c>
      <c r="L156" s="340" t="s">
        <v>122</v>
      </c>
      <c r="M156" s="340">
        <v>10</v>
      </c>
      <c r="N156" s="340" t="s">
        <v>56</v>
      </c>
      <c r="O156" s="339">
        <v>41265000</v>
      </c>
      <c r="P156" s="338"/>
      <c r="Q156" s="338">
        <f>+O156+P156</f>
        <v>41265000</v>
      </c>
      <c r="R156" s="338"/>
      <c r="S156" s="338"/>
      <c r="T156" s="338"/>
      <c r="U156" s="338"/>
      <c r="V156" s="337">
        <f>+R156+U156</f>
        <v>0</v>
      </c>
      <c r="W156" s="74">
        <f>+Q156+V156</f>
        <v>41265000</v>
      </c>
      <c r="X156" s="137">
        <v>41265000</v>
      </c>
      <c r="Y156" s="136"/>
      <c r="Z156" s="88">
        <f t="shared" si="31"/>
        <v>41265000</v>
      </c>
      <c r="AA156" s="87">
        <v>41344</v>
      </c>
      <c r="AB156" s="50">
        <v>17</v>
      </c>
      <c r="AC156" s="86" t="s">
        <v>227</v>
      </c>
      <c r="AD156" s="103"/>
      <c r="AE156" s="86"/>
      <c r="AF156" s="50"/>
      <c r="AG156" s="49"/>
      <c r="AH156" s="3">
        <f>+AI156/Z156</f>
        <v>0.2</v>
      </c>
      <c r="AI156" s="2">
        <v>8253000</v>
      </c>
    </row>
    <row r="157" spans="2:41" ht="132.75" customHeight="1" x14ac:dyDescent="0.25">
      <c r="B157" s="1042"/>
      <c r="C157" s="1075"/>
      <c r="D157" s="1031"/>
      <c r="E157" s="1031"/>
      <c r="F157" s="1031"/>
      <c r="G157" s="1022"/>
      <c r="H157" s="1025"/>
      <c r="I157" s="212" t="s">
        <v>29</v>
      </c>
      <c r="J157" s="212">
        <v>319</v>
      </c>
      <c r="K157" s="292" t="s">
        <v>226</v>
      </c>
      <c r="L157" s="341" t="s">
        <v>122</v>
      </c>
      <c r="M157" s="340">
        <v>9</v>
      </c>
      <c r="N157" s="340" t="s">
        <v>56</v>
      </c>
      <c r="O157" s="339">
        <v>12890000</v>
      </c>
      <c r="P157" s="338"/>
      <c r="Q157" s="338">
        <f>+O157+P157</f>
        <v>12890000</v>
      </c>
      <c r="R157" s="338"/>
      <c r="S157" s="338"/>
      <c r="T157" s="338"/>
      <c r="U157" s="338"/>
      <c r="V157" s="337">
        <f>+R157+U157</f>
        <v>0</v>
      </c>
      <c r="W157" s="74">
        <f>+Q157+V157</f>
        <v>12890000</v>
      </c>
      <c r="X157" s="137">
        <v>12890000</v>
      </c>
      <c r="Y157" s="136"/>
      <c r="Z157" s="88">
        <f t="shared" si="31"/>
        <v>12890000</v>
      </c>
      <c r="AA157" s="87">
        <v>41572</v>
      </c>
      <c r="AB157" s="50">
        <v>120</v>
      </c>
      <c r="AC157" s="50" t="s">
        <v>172</v>
      </c>
      <c r="AD157" s="103"/>
      <c r="AE157" s="86"/>
      <c r="AF157" s="50"/>
      <c r="AG157" s="49"/>
      <c r="AI157" s="271"/>
    </row>
    <row r="158" spans="2:41" ht="55.5" customHeight="1" x14ac:dyDescent="0.25">
      <c r="B158" s="1042"/>
      <c r="C158" s="1075"/>
      <c r="D158" s="1031"/>
      <c r="E158" s="1031"/>
      <c r="F158" s="1031"/>
      <c r="G158" s="1019" t="s">
        <v>24</v>
      </c>
      <c r="H158" s="1019"/>
      <c r="I158" s="1019"/>
      <c r="J158" s="1019"/>
      <c r="K158" s="1019"/>
      <c r="L158" s="102"/>
      <c r="M158" s="102"/>
      <c r="N158" s="102"/>
      <c r="O158" s="82">
        <f t="shared" ref="O158:V158" si="33">SUM(O154:O157)</f>
        <v>170000000</v>
      </c>
      <c r="P158" s="82">
        <f t="shared" si="33"/>
        <v>0</v>
      </c>
      <c r="Q158" s="82">
        <f t="shared" si="33"/>
        <v>170000000</v>
      </c>
      <c r="R158" s="82">
        <f t="shared" si="33"/>
        <v>10000000</v>
      </c>
      <c r="S158" s="82">
        <f t="shared" si="33"/>
        <v>10000000</v>
      </c>
      <c r="T158" s="82">
        <f t="shared" si="33"/>
        <v>10000000</v>
      </c>
      <c r="U158" s="82">
        <f t="shared" si="33"/>
        <v>0</v>
      </c>
      <c r="V158" s="336">
        <f t="shared" si="33"/>
        <v>10000000</v>
      </c>
      <c r="W158" s="82">
        <f>+O158+R158</f>
        <v>180000000</v>
      </c>
      <c r="X158" s="81">
        <f>SUM(X154:X157)</f>
        <v>170000000</v>
      </c>
      <c r="Y158" s="81">
        <f>SUM(Y154:Y157)</f>
        <v>10000000</v>
      </c>
      <c r="Z158" s="88">
        <f t="shared" si="31"/>
        <v>180000000</v>
      </c>
      <c r="AA158" s="78"/>
      <c r="AB158" s="78"/>
      <c r="AC158" s="78"/>
      <c r="AD158" s="79">
        <f>+Z158/W158</f>
        <v>1</v>
      </c>
      <c r="AE158" s="78"/>
      <c r="AF158" s="335">
        <f>SUM(AF154:AF157)</f>
        <v>10000000</v>
      </c>
      <c r="AG158" s="334">
        <f>SUM(AG154:AG157)</f>
        <v>10000000</v>
      </c>
    </row>
    <row r="159" spans="2:41" ht="61.5" customHeight="1" x14ac:dyDescent="0.25">
      <c r="B159" s="1042"/>
      <c r="C159" s="1120"/>
      <c r="D159" s="1031"/>
      <c r="E159" s="1031"/>
      <c r="F159" s="1031"/>
      <c r="G159" s="1044" t="s">
        <v>225</v>
      </c>
      <c r="H159" s="1044"/>
      <c r="I159" s="1044"/>
      <c r="J159" s="1044"/>
      <c r="K159" s="1044"/>
      <c r="L159" s="333"/>
      <c r="M159" s="333"/>
      <c r="N159" s="333"/>
      <c r="O159" s="74">
        <f>+O158</f>
        <v>170000000</v>
      </c>
      <c r="P159" s="74" t="e">
        <f>SUM(#REF!)</f>
        <v>#REF!</v>
      </c>
      <c r="Q159" s="74">
        <f>+Q158</f>
        <v>170000000</v>
      </c>
      <c r="R159" s="74">
        <f>+R158</f>
        <v>10000000</v>
      </c>
      <c r="S159" s="74">
        <f>+S158</f>
        <v>10000000</v>
      </c>
      <c r="T159" s="74">
        <f>+T158</f>
        <v>10000000</v>
      </c>
      <c r="U159" s="74" t="e">
        <f>SUM(#REF!)</f>
        <v>#REF!</v>
      </c>
      <c r="V159" s="75">
        <f>+V158</f>
        <v>10000000</v>
      </c>
      <c r="W159" s="74">
        <f>+W158</f>
        <v>180000000</v>
      </c>
      <c r="X159" s="74">
        <f>+X158</f>
        <v>170000000</v>
      </c>
      <c r="Y159" s="74">
        <f>+Y158</f>
        <v>10000000</v>
      </c>
      <c r="Z159" s="88">
        <f t="shared" si="31"/>
        <v>180000000</v>
      </c>
      <c r="AA159" s="71"/>
      <c r="AB159" s="71"/>
      <c r="AC159" s="71"/>
      <c r="AD159" s="70">
        <f>+Z159/W159</f>
        <v>1</v>
      </c>
      <c r="AE159" s="71"/>
      <c r="AF159" s="257">
        <f>+AF158</f>
        <v>10000000</v>
      </c>
      <c r="AG159" s="332">
        <f>+AG158</f>
        <v>10000000</v>
      </c>
    </row>
    <row r="160" spans="2:41" ht="69" customHeight="1" x14ac:dyDescent="0.25">
      <c r="B160" s="1043"/>
      <c r="C160" s="1127" t="s">
        <v>224</v>
      </c>
      <c r="D160" s="1127"/>
      <c r="E160" s="1127"/>
      <c r="F160" s="1127"/>
      <c r="G160" s="1127"/>
      <c r="H160" s="1127"/>
      <c r="I160" s="1127"/>
      <c r="J160" s="1127"/>
      <c r="K160" s="1127"/>
      <c r="L160" s="331"/>
      <c r="M160" s="66"/>
      <c r="N160" s="66"/>
      <c r="O160" s="330">
        <f t="shared" ref="O160:V160" si="34">+O153+O159</f>
        <v>1422511886</v>
      </c>
      <c r="P160" s="330" t="e">
        <f t="shared" si="34"/>
        <v>#REF!</v>
      </c>
      <c r="Q160" s="330">
        <f t="shared" si="34"/>
        <v>716306725</v>
      </c>
      <c r="R160" s="330">
        <f t="shared" si="34"/>
        <v>647500000</v>
      </c>
      <c r="S160" s="330">
        <f t="shared" si="34"/>
        <v>350000000</v>
      </c>
      <c r="T160" s="330">
        <f t="shared" si="34"/>
        <v>350000000</v>
      </c>
      <c r="U160" s="330" t="e">
        <f t="shared" si="34"/>
        <v>#REF!</v>
      </c>
      <c r="V160" s="330">
        <f t="shared" si="34"/>
        <v>517468000</v>
      </c>
      <c r="W160" s="330">
        <f>+O160+R160</f>
        <v>2070011886</v>
      </c>
      <c r="X160" s="330">
        <f>+X153+X159</f>
        <v>1421810611</v>
      </c>
      <c r="Y160" s="330">
        <f>+Y153+Y159</f>
        <v>632445724</v>
      </c>
      <c r="Z160" s="88">
        <f t="shared" si="31"/>
        <v>2054256335</v>
      </c>
      <c r="AA160" s="60"/>
      <c r="AB160" s="60"/>
      <c r="AC160" s="60"/>
      <c r="AD160" s="59">
        <f>+Z160/W160</f>
        <v>0.99238866640981205</v>
      </c>
      <c r="AE160" s="60"/>
      <c r="AF160" s="329">
        <f>+AF159+AF153</f>
        <v>349968000</v>
      </c>
      <c r="AG160" s="328">
        <f>+AG159+AG153</f>
        <v>349968000</v>
      </c>
    </row>
    <row r="161" spans="2:35" ht="45.75" customHeight="1" x14ac:dyDescent="0.25">
      <c r="B161" s="1121" t="s">
        <v>223</v>
      </c>
      <c r="C161" s="1122">
        <v>0</v>
      </c>
      <c r="D161" s="1031" t="s">
        <v>222</v>
      </c>
      <c r="E161" s="1012" t="s">
        <v>221</v>
      </c>
      <c r="F161" s="1012" t="s">
        <v>220</v>
      </c>
      <c r="G161" s="1020" t="s">
        <v>219</v>
      </c>
      <c r="H161" s="1029" t="s">
        <v>218</v>
      </c>
      <c r="I161" s="95" t="s">
        <v>29</v>
      </c>
      <c r="J161" s="95">
        <v>211</v>
      </c>
      <c r="K161" s="264" t="s">
        <v>217</v>
      </c>
      <c r="L161" s="110" t="s">
        <v>36</v>
      </c>
      <c r="M161" s="305">
        <v>5</v>
      </c>
      <c r="N161" s="305" t="s">
        <v>56</v>
      </c>
      <c r="O161" s="321">
        <v>100000000</v>
      </c>
      <c r="P161" s="309"/>
      <c r="Q161" s="308">
        <f>+O161+P161</f>
        <v>100000000</v>
      </c>
      <c r="R161" s="320"/>
      <c r="S161" s="308"/>
      <c r="T161" s="308"/>
      <c r="U161" s="308"/>
      <c r="V161" s="307"/>
      <c r="W161" s="299">
        <f>+O161+R161</f>
        <v>100000000</v>
      </c>
      <c r="X161" s="137">
        <v>100000000</v>
      </c>
      <c r="Y161" s="136"/>
      <c r="Z161" s="88">
        <f t="shared" si="31"/>
        <v>100000000</v>
      </c>
      <c r="AA161" s="87">
        <v>41431</v>
      </c>
      <c r="AB161" s="50">
        <v>56</v>
      </c>
      <c r="AC161" s="86" t="s">
        <v>216</v>
      </c>
      <c r="AD161" s="103"/>
      <c r="AE161" s="86"/>
      <c r="AF161" s="50"/>
      <c r="AG161" s="49"/>
      <c r="AH161" s="3">
        <f>+AI161/Z161</f>
        <v>0</v>
      </c>
      <c r="AI161" s="2">
        <v>0</v>
      </c>
    </row>
    <row r="162" spans="2:35" ht="38.25" x14ac:dyDescent="0.25">
      <c r="B162" s="1121"/>
      <c r="C162" s="1122"/>
      <c r="D162" s="1031"/>
      <c r="E162" s="1013"/>
      <c r="F162" s="1013"/>
      <c r="G162" s="1021"/>
      <c r="H162" s="1030"/>
      <c r="I162" s="95"/>
      <c r="J162" s="95"/>
      <c r="K162" s="264" t="s">
        <v>215</v>
      </c>
      <c r="L162" s="305" t="s">
        <v>27</v>
      </c>
      <c r="M162" s="305">
        <v>6</v>
      </c>
      <c r="N162" s="305" t="s">
        <v>56</v>
      </c>
      <c r="O162" s="321">
        <f>100000000-100000000</f>
        <v>0</v>
      </c>
      <c r="P162" s="309"/>
      <c r="Q162" s="308">
        <f>+O162+P162</f>
        <v>0</v>
      </c>
      <c r="R162" s="320"/>
      <c r="S162" s="308"/>
      <c r="T162" s="308"/>
      <c r="U162" s="308"/>
      <c r="V162" s="307"/>
      <c r="W162" s="299">
        <f>+O162+R162</f>
        <v>0</v>
      </c>
      <c r="X162" s="50"/>
      <c r="Y162" s="50"/>
      <c r="Z162" s="88">
        <f t="shared" si="31"/>
        <v>0</v>
      </c>
      <c r="AA162" s="50"/>
      <c r="AB162" s="50"/>
      <c r="AC162" s="50"/>
      <c r="AD162" s="103"/>
      <c r="AE162" s="86"/>
      <c r="AF162" s="50"/>
      <c r="AG162" s="49"/>
    </row>
    <row r="163" spans="2:35" ht="51" x14ac:dyDescent="0.25">
      <c r="B163" s="1121"/>
      <c r="C163" s="1122"/>
      <c r="D163" s="1031"/>
      <c r="E163" s="1013"/>
      <c r="F163" s="1013"/>
      <c r="G163" s="1021"/>
      <c r="H163" s="1030"/>
      <c r="I163" s="95" t="s">
        <v>29</v>
      </c>
      <c r="J163" s="95">
        <v>282</v>
      </c>
      <c r="K163" s="264" t="s">
        <v>214</v>
      </c>
      <c r="L163" s="305" t="s">
        <v>27</v>
      </c>
      <c r="M163" s="305">
        <v>8</v>
      </c>
      <c r="N163" s="305" t="s">
        <v>56</v>
      </c>
      <c r="O163" s="321">
        <v>51876000</v>
      </c>
      <c r="P163" s="309"/>
      <c r="Q163" s="308"/>
      <c r="R163" s="320"/>
      <c r="S163" s="308"/>
      <c r="T163" s="308"/>
      <c r="U163" s="308"/>
      <c r="V163" s="307"/>
      <c r="W163" s="299">
        <f>+O163+R163</f>
        <v>51876000</v>
      </c>
      <c r="X163" s="327">
        <v>51876000</v>
      </c>
      <c r="Y163" s="50"/>
      <c r="Z163" s="88">
        <f t="shared" si="31"/>
        <v>51876000</v>
      </c>
      <c r="AA163" s="87">
        <v>41486</v>
      </c>
      <c r="AB163" s="50">
        <v>72</v>
      </c>
      <c r="AC163" s="86" t="s">
        <v>213</v>
      </c>
      <c r="AD163" s="103"/>
      <c r="AE163" s="86"/>
      <c r="AF163" s="50"/>
      <c r="AG163" s="49"/>
      <c r="AH163" s="3">
        <f>+AI163/Z163</f>
        <v>0.65</v>
      </c>
      <c r="AI163" s="2">
        <v>33719400</v>
      </c>
    </row>
    <row r="164" spans="2:35" ht="38.25" x14ac:dyDescent="0.25">
      <c r="B164" s="1121"/>
      <c r="C164" s="1122"/>
      <c r="D164" s="1031"/>
      <c r="E164" s="1013"/>
      <c r="F164" s="1013"/>
      <c r="G164" s="1021"/>
      <c r="H164" s="1030"/>
      <c r="I164" s="95" t="s">
        <v>29</v>
      </c>
      <c r="J164" s="95">
        <v>283</v>
      </c>
      <c r="K164" s="264" t="s">
        <v>212</v>
      </c>
      <c r="L164" s="305" t="s">
        <v>27</v>
      </c>
      <c r="M164" s="305">
        <v>7</v>
      </c>
      <c r="N164" s="305" t="s">
        <v>56</v>
      </c>
      <c r="O164" s="321">
        <v>37138500</v>
      </c>
      <c r="P164" s="309"/>
      <c r="Q164" s="308"/>
      <c r="R164" s="320"/>
      <c r="S164" s="308"/>
      <c r="T164" s="308"/>
      <c r="U164" s="308"/>
      <c r="V164" s="307"/>
      <c r="W164" s="299">
        <f>+O164+R164</f>
        <v>37138500</v>
      </c>
      <c r="X164" s="137">
        <v>37138500</v>
      </c>
      <c r="Y164" s="136"/>
      <c r="Z164" s="88">
        <f t="shared" si="31"/>
        <v>37138500</v>
      </c>
      <c r="AA164" s="87">
        <v>41488</v>
      </c>
      <c r="AB164" s="50">
        <v>75</v>
      </c>
      <c r="AC164" s="50" t="s">
        <v>211</v>
      </c>
      <c r="AD164" s="103"/>
      <c r="AE164" s="86"/>
      <c r="AF164" s="50"/>
      <c r="AG164" s="49"/>
      <c r="AH164" s="3">
        <f>+AI164/Z164</f>
        <v>0.65</v>
      </c>
      <c r="AI164" s="2">
        <v>24140025</v>
      </c>
    </row>
    <row r="165" spans="2:35" ht="63.75" x14ac:dyDescent="0.25">
      <c r="B165" s="1121"/>
      <c r="C165" s="1122"/>
      <c r="D165" s="1031"/>
      <c r="E165" s="1013"/>
      <c r="F165" s="1013"/>
      <c r="G165" s="1021"/>
      <c r="H165" s="1030"/>
      <c r="I165" s="95"/>
      <c r="J165" s="95"/>
      <c r="K165" s="264" t="s">
        <v>210</v>
      </c>
      <c r="L165" s="305" t="s">
        <v>151</v>
      </c>
      <c r="M165" s="305">
        <v>8</v>
      </c>
      <c r="N165" s="305" t="s">
        <v>209</v>
      </c>
      <c r="O165" s="321">
        <f>279501000-18864000-260637000</f>
        <v>0</v>
      </c>
      <c r="P165" s="309"/>
      <c r="Q165" s="308">
        <f>+O165+P165</f>
        <v>0</v>
      </c>
      <c r="R165" s="320"/>
      <c r="S165" s="308"/>
      <c r="T165" s="308"/>
      <c r="U165" s="308"/>
      <c r="V165" s="307"/>
      <c r="W165" s="299">
        <f>+Q165+V165</f>
        <v>0</v>
      </c>
      <c r="X165" s="137"/>
      <c r="Y165" s="136"/>
      <c r="Z165" s="88">
        <f t="shared" si="31"/>
        <v>0</v>
      </c>
      <c r="AA165" s="50"/>
      <c r="AB165" s="50"/>
      <c r="AC165" s="50"/>
      <c r="AD165" s="103"/>
      <c r="AE165" s="86"/>
      <c r="AF165" s="50"/>
      <c r="AG165" s="49"/>
    </row>
    <row r="166" spans="2:35" ht="52.5" customHeight="1" x14ac:dyDescent="0.25">
      <c r="B166" s="1121"/>
      <c r="C166" s="1122"/>
      <c r="D166" s="1031"/>
      <c r="E166" s="1013"/>
      <c r="F166" s="1013"/>
      <c r="G166" s="1021"/>
      <c r="H166" s="1030"/>
      <c r="I166" s="95"/>
      <c r="J166" s="95"/>
      <c r="K166" s="264" t="s">
        <v>208</v>
      </c>
      <c r="L166" s="305" t="s">
        <v>27</v>
      </c>
      <c r="M166" s="305">
        <v>4</v>
      </c>
      <c r="N166" s="305" t="s">
        <v>56</v>
      </c>
      <c r="O166" s="321">
        <f>120000000-120000000</f>
        <v>0</v>
      </c>
      <c r="P166" s="309"/>
      <c r="Q166" s="308">
        <f>+O166+P166</f>
        <v>0</v>
      </c>
      <c r="R166" s="320"/>
      <c r="S166" s="308"/>
      <c r="T166" s="308"/>
      <c r="U166" s="308"/>
      <c r="V166" s="307"/>
      <c r="W166" s="299">
        <f t="shared" ref="W166:W175" si="35">+O166+R166</f>
        <v>0</v>
      </c>
      <c r="X166" s="137"/>
      <c r="Y166" s="136"/>
      <c r="Z166" s="88">
        <f t="shared" si="31"/>
        <v>0</v>
      </c>
      <c r="AA166" s="50"/>
      <c r="AB166" s="50"/>
      <c r="AC166" s="50"/>
      <c r="AD166" s="103"/>
      <c r="AE166" s="86"/>
      <c r="AF166" s="50"/>
      <c r="AG166" s="49"/>
    </row>
    <row r="167" spans="2:35" ht="55.5" customHeight="1" x14ac:dyDescent="0.25">
      <c r="B167" s="1121"/>
      <c r="C167" s="1122"/>
      <c r="D167" s="1031"/>
      <c r="E167" s="1013"/>
      <c r="F167" s="1013"/>
      <c r="G167" s="1021"/>
      <c r="H167" s="1030"/>
      <c r="I167" s="95" t="s">
        <v>29</v>
      </c>
      <c r="J167" s="95">
        <v>333</v>
      </c>
      <c r="K167" s="264" t="s">
        <v>207</v>
      </c>
      <c r="L167" s="305" t="s">
        <v>40</v>
      </c>
      <c r="M167" s="305">
        <v>10</v>
      </c>
      <c r="N167" s="305" t="s">
        <v>56</v>
      </c>
      <c r="O167" s="326">
        <v>130300000</v>
      </c>
      <c r="P167" s="309"/>
      <c r="Q167" s="308"/>
      <c r="R167" s="320"/>
      <c r="S167" s="308"/>
      <c r="T167" s="308"/>
      <c r="U167" s="308"/>
      <c r="V167" s="307"/>
      <c r="W167" s="299">
        <f t="shared" si="35"/>
        <v>130300000</v>
      </c>
      <c r="X167" s="137">
        <v>130300000</v>
      </c>
      <c r="Y167" s="136"/>
      <c r="Z167" s="88">
        <f t="shared" si="31"/>
        <v>130300000</v>
      </c>
      <c r="AA167" s="87">
        <v>41533</v>
      </c>
      <c r="AB167" s="50">
        <v>104</v>
      </c>
      <c r="AC167" s="50" t="s">
        <v>206</v>
      </c>
      <c r="AD167" s="103"/>
      <c r="AE167" s="86"/>
      <c r="AF167" s="50"/>
      <c r="AG167" s="49"/>
      <c r="AH167" s="3">
        <f>+AI167/Z167</f>
        <v>0.8</v>
      </c>
      <c r="AI167" s="2">
        <v>104240000</v>
      </c>
    </row>
    <row r="168" spans="2:35" ht="63.75" customHeight="1" x14ac:dyDescent="0.25">
      <c r="B168" s="1121"/>
      <c r="C168" s="1122"/>
      <c r="D168" s="1031"/>
      <c r="E168" s="1013"/>
      <c r="F168" s="1013"/>
      <c r="G168" s="1021"/>
      <c r="H168" s="1030"/>
      <c r="I168" s="95" t="s">
        <v>42</v>
      </c>
      <c r="J168" s="95">
        <v>317</v>
      </c>
      <c r="K168" s="264" t="s">
        <v>205</v>
      </c>
      <c r="L168" s="305" t="s">
        <v>40</v>
      </c>
      <c r="M168" s="305">
        <v>10</v>
      </c>
      <c r="N168" s="305" t="s">
        <v>168</v>
      </c>
      <c r="O168" s="326">
        <v>130337000</v>
      </c>
      <c r="P168" s="309"/>
      <c r="Q168" s="308"/>
      <c r="R168" s="320"/>
      <c r="S168" s="308"/>
      <c r="T168" s="308"/>
      <c r="U168" s="308"/>
      <c r="V168" s="307"/>
      <c r="W168" s="299">
        <f t="shared" si="35"/>
        <v>130337000</v>
      </c>
      <c r="X168" s="137">
        <v>130337000</v>
      </c>
      <c r="Y168" s="136"/>
      <c r="Z168" s="88">
        <f t="shared" si="31"/>
        <v>130337000</v>
      </c>
      <c r="AA168" s="87">
        <v>41554</v>
      </c>
      <c r="AB168" s="50">
        <v>115</v>
      </c>
      <c r="AC168" s="50" t="s">
        <v>167</v>
      </c>
      <c r="AD168" s="103"/>
      <c r="AE168" s="86"/>
      <c r="AF168" s="50"/>
      <c r="AG168" s="49"/>
      <c r="AH168" s="3">
        <f>+AI168/Z168</f>
        <v>0</v>
      </c>
      <c r="AI168" s="2">
        <v>0</v>
      </c>
    </row>
    <row r="169" spans="2:35" ht="36" customHeight="1" x14ac:dyDescent="0.25">
      <c r="B169" s="1121"/>
      <c r="C169" s="1122"/>
      <c r="D169" s="1031"/>
      <c r="E169" s="1013"/>
      <c r="F169" s="1013"/>
      <c r="G169" s="1021"/>
      <c r="H169" s="1030"/>
      <c r="I169" s="95" t="s">
        <v>29</v>
      </c>
      <c r="J169" s="95">
        <v>284</v>
      </c>
      <c r="K169" s="96" t="s">
        <v>204</v>
      </c>
      <c r="L169" s="305" t="s">
        <v>27</v>
      </c>
      <c r="M169" s="305">
        <v>5</v>
      </c>
      <c r="N169" s="305" t="s">
        <v>56</v>
      </c>
      <c r="O169" s="322">
        <v>17685000</v>
      </c>
      <c r="P169" s="309"/>
      <c r="Q169" s="308"/>
      <c r="R169" s="320"/>
      <c r="S169" s="308"/>
      <c r="T169" s="308"/>
      <c r="U169" s="308"/>
      <c r="V169" s="307"/>
      <c r="W169" s="299">
        <f t="shared" si="35"/>
        <v>17685000</v>
      </c>
      <c r="X169" s="137">
        <v>17685000</v>
      </c>
      <c r="Y169" s="136"/>
      <c r="Z169" s="88">
        <f t="shared" si="31"/>
        <v>17685000</v>
      </c>
      <c r="AA169" s="87">
        <v>41494</v>
      </c>
      <c r="AB169" s="50">
        <v>77</v>
      </c>
      <c r="AC169" s="50" t="s">
        <v>203</v>
      </c>
      <c r="AD169" s="103"/>
      <c r="AE169" s="86"/>
      <c r="AF169" s="50"/>
      <c r="AG169" s="49"/>
      <c r="AH169" s="3">
        <f>+AI169/Z169</f>
        <v>0.3</v>
      </c>
      <c r="AI169" s="2">
        <v>5305500</v>
      </c>
    </row>
    <row r="170" spans="2:35" ht="46.5" customHeight="1" x14ac:dyDescent="0.25">
      <c r="B170" s="1121"/>
      <c r="C170" s="1122"/>
      <c r="D170" s="1031"/>
      <c r="E170" s="1013"/>
      <c r="F170" s="1013"/>
      <c r="G170" s="1021"/>
      <c r="H170" s="1030"/>
      <c r="I170" s="95"/>
      <c r="J170" s="95">
        <v>285</v>
      </c>
      <c r="K170" s="96" t="s">
        <v>178</v>
      </c>
      <c r="L170" s="305" t="s">
        <v>151</v>
      </c>
      <c r="M170" s="305">
        <v>5</v>
      </c>
      <c r="N170" s="305" t="s">
        <v>56</v>
      </c>
      <c r="O170" s="322">
        <v>5895000</v>
      </c>
      <c r="P170" s="309"/>
      <c r="Q170" s="308"/>
      <c r="R170" s="320"/>
      <c r="S170" s="308"/>
      <c r="T170" s="308"/>
      <c r="U170" s="308"/>
      <c r="V170" s="307"/>
      <c r="W170" s="299">
        <f t="shared" si="35"/>
        <v>5895000</v>
      </c>
      <c r="X170" s="137">
        <v>5895000</v>
      </c>
      <c r="Y170" s="136"/>
      <c r="Z170" s="88">
        <f t="shared" si="31"/>
        <v>5895000</v>
      </c>
      <c r="AA170" s="87">
        <v>41534</v>
      </c>
      <c r="AB170" s="50">
        <v>105</v>
      </c>
      <c r="AC170" s="50" t="s">
        <v>177</v>
      </c>
      <c r="AD170" s="103"/>
      <c r="AE170" s="86"/>
      <c r="AF170" s="50"/>
      <c r="AG170" s="49"/>
      <c r="AH170" s="3">
        <f>+AI170/Z170</f>
        <v>0</v>
      </c>
      <c r="AI170" s="2">
        <v>0</v>
      </c>
    </row>
    <row r="171" spans="2:35" ht="34.5" customHeight="1" x14ac:dyDescent="0.25">
      <c r="B171" s="1121"/>
      <c r="C171" s="1122"/>
      <c r="D171" s="1031"/>
      <c r="E171" s="1013"/>
      <c r="F171" s="1013"/>
      <c r="G171" s="1021"/>
      <c r="H171" s="1030"/>
      <c r="I171" s="95" t="s">
        <v>29</v>
      </c>
      <c r="J171" s="95">
        <v>286</v>
      </c>
      <c r="K171" s="264" t="s">
        <v>202</v>
      </c>
      <c r="L171" s="243" t="s">
        <v>60</v>
      </c>
      <c r="M171" s="242">
        <v>1</v>
      </c>
      <c r="N171" s="242" t="s">
        <v>47</v>
      </c>
      <c r="O171" s="322">
        <v>4000000</v>
      </c>
      <c r="P171" s="309"/>
      <c r="Q171" s="308"/>
      <c r="R171" s="320"/>
      <c r="S171" s="308"/>
      <c r="T171" s="308"/>
      <c r="U171" s="308"/>
      <c r="V171" s="307"/>
      <c r="W171" s="299">
        <f t="shared" si="35"/>
        <v>4000000</v>
      </c>
      <c r="X171" s="137">
        <v>4000000</v>
      </c>
      <c r="Y171" s="136"/>
      <c r="Z171" s="88">
        <f t="shared" si="31"/>
        <v>4000000</v>
      </c>
      <c r="AA171" s="87">
        <v>41556</v>
      </c>
      <c r="AB171" s="50">
        <v>117</v>
      </c>
      <c r="AC171" s="50" t="s">
        <v>201</v>
      </c>
      <c r="AD171" s="103"/>
      <c r="AE171" s="86"/>
      <c r="AF171" s="50"/>
      <c r="AG171" s="49"/>
      <c r="AI171" s="240"/>
    </row>
    <row r="172" spans="2:35" ht="35.25" customHeight="1" x14ac:dyDescent="0.25">
      <c r="B172" s="1121"/>
      <c r="C172" s="1122"/>
      <c r="D172" s="1031"/>
      <c r="E172" s="1013"/>
      <c r="F172" s="1013"/>
      <c r="G172" s="1021"/>
      <c r="H172" s="1030"/>
      <c r="I172" s="95"/>
      <c r="J172" s="95">
        <v>287</v>
      </c>
      <c r="K172" s="167" t="s">
        <v>200</v>
      </c>
      <c r="L172" s="325" t="s">
        <v>40</v>
      </c>
      <c r="M172" s="325">
        <v>10</v>
      </c>
      <c r="N172" s="325" t="s">
        <v>56</v>
      </c>
      <c r="O172" s="324">
        <f>3000000-3000000</f>
        <v>0</v>
      </c>
      <c r="P172" s="309"/>
      <c r="Q172" s="308"/>
      <c r="R172" s="320"/>
      <c r="S172" s="308"/>
      <c r="T172" s="308"/>
      <c r="U172" s="308"/>
      <c r="V172" s="307"/>
      <c r="W172" s="299">
        <f t="shared" si="35"/>
        <v>0</v>
      </c>
      <c r="X172" s="137"/>
      <c r="Y172" s="136"/>
      <c r="Z172" s="88">
        <f t="shared" si="31"/>
        <v>0</v>
      </c>
      <c r="AA172" s="50"/>
      <c r="AB172" s="50"/>
      <c r="AC172" s="50"/>
      <c r="AD172" s="103"/>
      <c r="AE172" s="86"/>
      <c r="AF172" s="50"/>
      <c r="AG172" s="49"/>
    </row>
    <row r="173" spans="2:35" ht="45.75" customHeight="1" x14ac:dyDescent="0.25">
      <c r="B173" s="1121"/>
      <c r="C173" s="1122"/>
      <c r="D173" s="1031"/>
      <c r="E173" s="1013"/>
      <c r="F173" s="1013"/>
      <c r="G173" s="1021"/>
      <c r="H173" s="1030"/>
      <c r="I173" s="95" t="s">
        <v>29</v>
      </c>
      <c r="J173" s="95">
        <v>288</v>
      </c>
      <c r="K173" s="167" t="s">
        <v>199</v>
      </c>
      <c r="L173" s="318" t="s">
        <v>151</v>
      </c>
      <c r="M173" s="318">
        <v>2</v>
      </c>
      <c r="N173" s="318" t="s">
        <v>56</v>
      </c>
      <c r="O173" s="323">
        <f>7074000+7074000</f>
        <v>14148000</v>
      </c>
      <c r="P173" s="316"/>
      <c r="Q173" s="314"/>
      <c r="R173" s="315"/>
      <c r="S173" s="314"/>
      <c r="T173" s="314"/>
      <c r="U173" s="314"/>
      <c r="V173" s="313"/>
      <c r="W173" s="312">
        <f t="shared" si="35"/>
        <v>14148000</v>
      </c>
      <c r="X173" s="137">
        <v>14148000</v>
      </c>
      <c r="Y173" s="136"/>
      <c r="Z173" s="88">
        <f t="shared" si="31"/>
        <v>14148000</v>
      </c>
      <c r="AA173" s="87">
        <v>41605</v>
      </c>
      <c r="AB173" s="50">
        <v>128</v>
      </c>
      <c r="AC173" s="50" t="s">
        <v>198</v>
      </c>
      <c r="AD173" s="103"/>
      <c r="AE173" s="86"/>
      <c r="AF173" s="50"/>
      <c r="AG173" s="49"/>
      <c r="AH173" s="3">
        <f t="shared" ref="AH173:AH182" si="36">+AI173/Z173</f>
        <v>1</v>
      </c>
      <c r="AI173" s="2">
        <v>14148000</v>
      </c>
    </row>
    <row r="174" spans="2:35" ht="27" customHeight="1" x14ac:dyDescent="0.25">
      <c r="B174" s="1121"/>
      <c r="C174" s="1122"/>
      <c r="D174" s="1031"/>
      <c r="E174" s="1013"/>
      <c r="F174" s="1013"/>
      <c r="G174" s="1021"/>
      <c r="H174" s="1030"/>
      <c r="I174" s="95" t="s">
        <v>29</v>
      </c>
      <c r="J174" s="95">
        <v>289</v>
      </c>
      <c r="K174" s="96" t="s">
        <v>197</v>
      </c>
      <c r="L174" s="305" t="s">
        <v>27</v>
      </c>
      <c r="M174" s="305">
        <v>2</v>
      </c>
      <c r="N174" s="305" t="s">
        <v>56</v>
      </c>
      <c r="O174" s="322">
        <v>7074000</v>
      </c>
      <c r="P174" s="309"/>
      <c r="Q174" s="308"/>
      <c r="R174" s="320"/>
      <c r="S174" s="308"/>
      <c r="T174" s="308"/>
      <c r="U174" s="308"/>
      <c r="V174" s="307"/>
      <c r="W174" s="299">
        <f t="shared" si="35"/>
        <v>7074000</v>
      </c>
      <c r="X174" s="137">
        <v>7074000</v>
      </c>
      <c r="Y174" s="136"/>
      <c r="Z174" s="88">
        <f t="shared" si="31"/>
        <v>7074000</v>
      </c>
      <c r="AA174" s="87">
        <v>41488</v>
      </c>
      <c r="AB174" s="50">
        <v>73</v>
      </c>
      <c r="AC174" s="50" t="s">
        <v>196</v>
      </c>
      <c r="AD174" s="103"/>
      <c r="AE174" s="86"/>
      <c r="AF174" s="50"/>
      <c r="AG174" s="49"/>
      <c r="AH174" s="3">
        <f t="shared" si="36"/>
        <v>0</v>
      </c>
      <c r="AI174" s="2">
        <v>0</v>
      </c>
    </row>
    <row r="175" spans="2:35" ht="45" customHeight="1" x14ac:dyDescent="0.25">
      <c r="B175" s="1121"/>
      <c r="C175" s="1122"/>
      <c r="D175" s="1031"/>
      <c r="E175" s="1013"/>
      <c r="F175" s="1013"/>
      <c r="G175" s="1021"/>
      <c r="H175" s="1030"/>
      <c r="I175" s="95" t="s">
        <v>29</v>
      </c>
      <c r="J175" s="95">
        <v>319</v>
      </c>
      <c r="K175" s="96" t="s">
        <v>174</v>
      </c>
      <c r="L175" s="305" t="s">
        <v>151</v>
      </c>
      <c r="M175" s="305">
        <v>10</v>
      </c>
      <c r="N175" s="305" t="s">
        <v>56</v>
      </c>
      <c r="O175" s="322">
        <v>86257500</v>
      </c>
      <c r="P175" s="309"/>
      <c r="Q175" s="308"/>
      <c r="R175" s="320"/>
      <c r="S175" s="308"/>
      <c r="T175" s="308"/>
      <c r="U175" s="308"/>
      <c r="V175" s="307"/>
      <c r="W175" s="299">
        <f t="shared" si="35"/>
        <v>86257500</v>
      </c>
      <c r="X175" s="137">
        <v>86257500</v>
      </c>
      <c r="Y175" s="136"/>
      <c r="Z175" s="88">
        <f t="shared" si="31"/>
        <v>86257500</v>
      </c>
      <c r="AA175" s="87">
        <v>41572</v>
      </c>
      <c r="AB175" s="50">
        <v>120</v>
      </c>
      <c r="AC175" s="50" t="s">
        <v>172</v>
      </c>
      <c r="AD175" s="103"/>
      <c r="AE175" s="86"/>
      <c r="AF175" s="50"/>
      <c r="AG175" s="49"/>
      <c r="AH175" s="3">
        <f t="shared" si="36"/>
        <v>0</v>
      </c>
      <c r="AI175" s="271"/>
    </row>
    <row r="176" spans="2:35" ht="47.25" customHeight="1" x14ac:dyDescent="0.25">
      <c r="B176" s="1121"/>
      <c r="C176" s="1122"/>
      <c r="D176" s="1031"/>
      <c r="E176" s="1013"/>
      <c r="F176" s="1013"/>
      <c r="G176" s="1021"/>
      <c r="H176" s="1030"/>
      <c r="I176" s="95" t="s">
        <v>29</v>
      </c>
      <c r="J176" s="95">
        <v>163</v>
      </c>
      <c r="K176" s="244" t="s">
        <v>195</v>
      </c>
      <c r="L176" s="305" t="s">
        <v>122</v>
      </c>
      <c r="M176" s="305">
        <v>9</v>
      </c>
      <c r="N176" s="305" t="s">
        <v>56</v>
      </c>
      <c r="O176" s="321">
        <v>31833000</v>
      </c>
      <c r="P176" s="309"/>
      <c r="Q176" s="308">
        <f>+O176+P176</f>
        <v>31833000</v>
      </c>
      <c r="R176" s="320"/>
      <c r="S176" s="308"/>
      <c r="T176" s="308"/>
      <c r="U176" s="308"/>
      <c r="V176" s="307"/>
      <c r="W176" s="299">
        <f>+Q176+V176</f>
        <v>31833000</v>
      </c>
      <c r="X176" s="137">
        <v>31833000</v>
      </c>
      <c r="Y176" s="136"/>
      <c r="Z176" s="88">
        <f t="shared" si="31"/>
        <v>31833000</v>
      </c>
      <c r="AA176" s="87">
        <v>41338</v>
      </c>
      <c r="AB176" s="50">
        <v>14</v>
      </c>
      <c r="AC176" s="50" t="s">
        <v>194</v>
      </c>
      <c r="AD176" s="103"/>
      <c r="AE176" s="86"/>
      <c r="AF176" s="50"/>
      <c r="AG176" s="49"/>
      <c r="AH176" s="3">
        <f t="shared" si="36"/>
        <v>0</v>
      </c>
      <c r="AI176" s="2">
        <v>0</v>
      </c>
    </row>
    <row r="177" spans="2:35" ht="38.25" customHeight="1" x14ac:dyDescent="0.25">
      <c r="B177" s="1121"/>
      <c r="C177" s="1122"/>
      <c r="D177" s="1031"/>
      <c r="E177" s="1013"/>
      <c r="F177" s="1013"/>
      <c r="G177" s="1021"/>
      <c r="H177" s="1030"/>
      <c r="I177" s="95" t="s">
        <v>29</v>
      </c>
      <c r="J177" s="95">
        <v>164</v>
      </c>
      <c r="K177" s="244" t="s">
        <v>193</v>
      </c>
      <c r="L177" s="305" t="s">
        <v>122</v>
      </c>
      <c r="M177" s="305">
        <v>10</v>
      </c>
      <c r="N177" s="305" t="s">
        <v>56</v>
      </c>
      <c r="O177" s="321">
        <f>63666000+18864000</f>
        <v>82530000</v>
      </c>
      <c r="P177" s="309"/>
      <c r="Q177" s="308">
        <f>+O177+P177</f>
        <v>82530000</v>
      </c>
      <c r="R177" s="320"/>
      <c r="S177" s="308"/>
      <c r="T177" s="308"/>
      <c r="U177" s="308"/>
      <c r="V177" s="307"/>
      <c r="W177" s="299">
        <f>+Q177+V177</f>
        <v>82530000</v>
      </c>
      <c r="X177" s="137">
        <v>82530000</v>
      </c>
      <c r="Y177" s="136"/>
      <c r="Z177" s="88">
        <f t="shared" si="31"/>
        <v>82530000</v>
      </c>
      <c r="AA177" s="87">
        <v>41354</v>
      </c>
      <c r="AB177" s="50">
        <v>31</v>
      </c>
      <c r="AC177" s="50" t="s">
        <v>192</v>
      </c>
      <c r="AD177" s="103"/>
      <c r="AE177" s="86"/>
      <c r="AF177" s="50"/>
      <c r="AG177" s="49"/>
      <c r="AH177" s="3">
        <f t="shared" si="36"/>
        <v>0.25</v>
      </c>
      <c r="AI177" s="319">
        <v>20632500</v>
      </c>
    </row>
    <row r="178" spans="2:35" ht="25.5" customHeight="1" x14ac:dyDescent="0.25">
      <c r="B178" s="1121"/>
      <c r="C178" s="1122"/>
      <c r="D178" s="1031"/>
      <c r="E178" s="1013"/>
      <c r="F178" s="1013"/>
      <c r="G178" s="1021"/>
      <c r="H178" s="1030"/>
      <c r="I178" s="95"/>
      <c r="J178" s="95"/>
      <c r="K178" s="176" t="s">
        <v>191</v>
      </c>
      <c r="L178" s="318"/>
      <c r="M178" s="318"/>
      <c r="N178" s="318"/>
      <c r="O178" s="317">
        <f>8253000-7074000</f>
        <v>1179000</v>
      </c>
      <c r="P178" s="316"/>
      <c r="Q178" s="314"/>
      <c r="R178" s="315"/>
      <c r="S178" s="314"/>
      <c r="T178" s="314"/>
      <c r="U178" s="314"/>
      <c r="V178" s="313"/>
      <c r="W178" s="312">
        <f>+O178+R178</f>
        <v>1179000</v>
      </c>
      <c r="X178" s="137">
        <v>1179000</v>
      </c>
      <c r="Y178" s="136"/>
      <c r="Z178" s="88">
        <f t="shared" si="31"/>
        <v>1179000</v>
      </c>
      <c r="AA178" s="87"/>
      <c r="AB178" s="50">
        <v>31</v>
      </c>
      <c r="AC178" s="50"/>
      <c r="AD178" s="103"/>
      <c r="AE178" s="86"/>
      <c r="AF178" s="50"/>
      <c r="AG178" s="49"/>
      <c r="AH178" s="3">
        <f t="shared" si="36"/>
        <v>0</v>
      </c>
      <c r="AI178" s="311"/>
    </row>
    <row r="179" spans="2:35" ht="35.25" customHeight="1" x14ac:dyDescent="0.25">
      <c r="B179" s="1121"/>
      <c r="C179" s="1122"/>
      <c r="D179" s="1031"/>
      <c r="E179" s="1013"/>
      <c r="F179" s="1013"/>
      <c r="G179" s="1021"/>
      <c r="H179" s="1030"/>
      <c r="I179" s="95" t="s">
        <v>29</v>
      </c>
      <c r="J179" s="95">
        <v>165</v>
      </c>
      <c r="K179" s="306" t="s">
        <v>190</v>
      </c>
      <c r="L179" s="110" t="s">
        <v>36</v>
      </c>
      <c r="M179" s="305">
        <v>3</v>
      </c>
      <c r="N179" s="305" t="s">
        <v>56</v>
      </c>
      <c r="O179" s="310">
        <v>55000000</v>
      </c>
      <c r="P179" s="309"/>
      <c r="Q179" s="308">
        <f>+O179+P179</f>
        <v>55000000</v>
      </c>
      <c r="R179" s="302"/>
      <c r="S179" s="308"/>
      <c r="T179" s="308"/>
      <c r="U179" s="308"/>
      <c r="V179" s="307"/>
      <c r="W179" s="299">
        <f>+Q179+V179</f>
        <v>55000000</v>
      </c>
      <c r="X179" s="137">
        <v>55000000</v>
      </c>
      <c r="Y179" s="136"/>
      <c r="Z179" s="88">
        <f t="shared" si="31"/>
        <v>55000000</v>
      </c>
      <c r="AA179" s="87">
        <v>41439</v>
      </c>
      <c r="AB179" s="50">
        <v>59</v>
      </c>
      <c r="AC179" s="86" t="s">
        <v>187</v>
      </c>
      <c r="AD179" s="103"/>
      <c r="AE179" s="86"/>
      <c r="AF179" s="50"/>
      <c r="AG179" s="49"/>
      <c r="AH179" s="3">
        <f t="shared" si="36"/>
        <v>0</v>
      </c>
      <c r="AI179" s="2">
        <v>0</v>
      </c>
    </row>
    <row r="180" spans="2:35" ht="24" customHeight="1" x14ac:dyDescent="0.25">
      <c r="B180" s="1121"/>
      <c r="C180" s="1122"/>
      <c r="D180" s="1031"/>
      <c r="E180" s="1013"/>
      <c r="F180" s="1013"/>
      <c r="G180" s="1022"/>
      <c r="H180" s="1040"/>
      <c r="I180" s="95"/>
      <c r="J180" s="95"/>
      <c r="K180" s="306" t="s">
        <v>189</v>
      </c>
      <c r="L180" s="110"/>
      <c r="M180" s="305"/>
      <c r="N180" s="305"/>
      <c r="O180" s="304">
        <v>27500000</v>
      </c>
      <c r="P180" s="303"/>
      <c r="Q180" s="301"/>
      <c r="R180" s="302"/>
      <c r="S180" s="301"/>
      <c r="T180" s="301"/>
      <c r="U180" s="301"/>
      <c r="V180" s="300"/>
      <c r="W180" s="299">
        <f>+O180+R180</f>
        <v>27500000</v>
      </c>
      <c r="X180" s="137">
        <v>27500000</v>
      </c>
      <c r="Y180" s="137"/>
      <c r="Z180" s="88">
        <f t="shared" si="31"/>
        <v>27500000</v>
      </c>
      <c r="AA180" s="87" t="s">
        <v>188</v>
      </c>
      <c r="AB180" s="50">
        <v>59</v>
      </c>
      <c r="AC180" s="86" t="s">
        <v>187</v>
      </c>
      <c r="AD180" s="103"/>
      <c r="AE180" s="86"/>
      <c r="AF180" s="50"/>
      <c r="AG180" s="49"/>
      <c r="AH180" s="3">
        <f t="shared" si="36"/>
        <v>1</v>
      </c>
      <c r="AI180" s="2">
        <v>27500000</v>
      </c>
    </row>
    <row r="181" spans="2:35" ht="26.25" customHeight="1" x14ac:dyDescent="0.25">
      <c r="B181" s="1121"/>
      <c r="C181" s="1122"/>
      <c r="D181" s="1031"/>
      <c r="E181" s="1013"/>
      <c r="F181" s="1013"/>
      <c r="G181" s="1019" t="s">
        <v>24</v>
      </c>
      <c r="H181" s="1019"/>
      <c r="I181" s="1019"/>
      <c r="J181" s="1019"/>
      <c r="K181" s="1019"/>
      <c r="L181" s="102"/>
      <c r="M181" s="102"/>
      <c r="N181" s="102"/>
      <c r="O181" s="298">
        <f>SUM(O161:O180)</f>
        <v>782753000</v>
      </c>
      <c r="P181" s="298">
        <f t="shared" ref="P181:V181" si="37">SUM(P161:P179)</f>
        <v>0</v>
      </c>
      <c r="Q181" s="298">
        <f t="shared" si="37"/>
        <v>269363000</v>
      </c>
      <c r="R181" s="144">
        <f t="shared" si="37"/>
        <v>0</v>
      </c>
      <c r="S181" s="298">
        <f t="shared" si="37"/>
        <v>0</v>
      </c>
      <c r="T181" s="298">
        <f t="shared" si="37"/>
        <v>0</v>
      </c>
      <c r="U181" s="298">
        <f t="shared" si="37"/>
        <v>0</v>
      </c>
      <c r="V181" s="298">
        <f t="shared" si="37"/>
        <v>0</v>
      </c>
      <c r="W181" s="278">
        <f>SUM(W161:W180)</f>
        <v>782753000</v>
      </c>
      <c r="X181" s="297">
        <f>SUM(X161:X180)</f>
        <v>782753000</v>
      </c>
      <c r="Y181" s="297">
        <f>SUM(Y161:Y180)</f>
        <v>0</v>
      </c>
      <c r="Z181" s="88">
        <f t="shared" si="31"/>
        <v>782753000</v>
      </c>
      <c r="AA181" s="78"/>
      <c r="AB181" s="78"/>
      <c r="AC181" s="78"/>
      <c r="AD181" s="79">
        <f>+Z181/W181</f>
        <v>1</v>
      </c>
      <c r="AE181" s="78"/>
      <c r="AF181" s="78">
        <f>SUM(AF161:AF179)</f>
        <v>0</v>
      </c>
      <c r="AG181" s="226">
        <f>SUM(AG161:AG179)</f>
        <v>0</v>
      </c>
      <c r="AH181" s="3">
        <f t="shared" si="36"/>
        <v>0</v>
      </c>
    </row>
    <row r="182" spans="2:35" ht="25.5" customHeight="1" x14ac:dyDescent="0.25">
      <c r="B182" s="1121"/>
      <c r="C182" s="1122"/>
      <c r="D182" s="1031"/>
      <c r="E182" s="1014"/>
      <c r="F182" s="1014"/>
      <c r="G182" s="1015" t="s">
        <v>186</v>
      </c>
      <c r="H182" s="1016"/>
      <c r="I182" s="1016"/>
      <c r="J182" s="1016"/>
      <c r="K182" s="1016"/>
      <c r="L182" s="1016"/>
      <c r="M182" s="1016"/>
      <c r="N182" s="1017"/>
      <c r="O182" s="74">
        <f t="shared" ref="O182:Y182" si="38">+O181</f>
        <v>782753000</v>
      </c>
      <c r="P182" s="74">
        <f t="shared" si="38"/>
        <v>0</v>
      </c>
      <c r="Q182" s="74">
        <f t="shared" si="38"/>
        <v>269363000</v>
      </c>
      <c r="R182" s="74">
        <f t="shared" si="38"/>
        <v>0</v>
      </c>
      <c r="S182" s="74">
        <f t="shared" si="38"/>
        <v>0</v>
      </c>
      <c r="T182" s="74">
        <f t="shared" si="38"/>
        <v>0</v>
      </c>
      <c r="U182" s="74">
        <f t="shared" si="38"/>
        <v>0</v>
      </c>
      <c r="V182" s="74">
        <f t="shared" si="38"/>
        <v>0</v>
      </c>
      <c r="W182" s="74">
        <f t="shared" si="38"/>
        <v>782753000</v>
      </c>
      <c r="X182" s="296">
        <f t="shared" si="38"/>
        <v>782753000</v>
      </c>
      <c r="Y182" s="296">
        <f t="shared" si="38"/>
        <v>0</v>
      </c>
      <c r="Z182" s="88">
        <f t="shared" si="31"/>
        <v>782753000</v>
      </c>
      <c r="AA182" s="71"/>
      <c r="AB182" s="71"/>
      <c r="AC182" s="71"/>
      <c r="AD182" s="70">
        <f>+Z182/W182</f>
        <v>1</v>
      </c>
      <c r="AE182" s="71"/>
      <c r="AF182" s="71">
        <f>+AF181</f>
        <v>0</v>
      </c>
      <c r="AG182" s="256">
        <f>+AG181</f>
        <v>0</v>
      </c>
      <c r="AH182" s="3">
        <f t="shared" si="36"/>
        <v>0</v>
      </c>
    </row>
    <row r="183" spans="2:35" ht="66" customHeight="1" x14ac:dyDescent="0.25">
      <c r="B183" s="1050" t="str">
        <f>+B161</f>
        <v>PROYECTO NO. 702 Investigación e innovación para la construcción de conocimiento educativo y pedagógico.</v>
      </c>
      <c r="C183" s="1050">
        <f>+C161</f>
        <v>0</v>
      </c>
      <c r="D183" s="1013" t="s">
        <v>185</v>
      </c>
      <c r="E183" s="1123" t="s">
        <v>184</v>
      </c>
      <c r="F183" s="1012" t="s">
        <v>183</v>
      </c>
      <c r="G183" s="1126" t="s">
        <v>182</v>
      </c>
      <c r="H183" s="1085" t="s">
        <v>157</v>
      </c>
      <c r="I183" s="295"/>
      <c r="J183" s="95">
        <v>166</v>
      </c>
      <c r="K183" s="294" t="s">
        <v>181</v>
      </c>
      <c r="L183" s="121" t="s">
        <v>36</v>
      </c>
      <c r="M183" s="121">
        <v>9</v>
      </c>
      <c r="N183" s="121" t="s">
        <v>56</v>
      </c>
      <c r="O183" s="293">
        <f>434000-434000</f>
        <v>0</v>
      </c>
      <c r="P183" s="288"/>
      <c r="Q183" s="288">
        <f>+O183+P183</f>
        <v>0</v>
      </c>
      <c r="R183" s="293">
        <f>13566000-11647333</f>
        <v>1918667</v>
      </c>
      <c r="S183" s="283"/>
      <c r="T183" s="283"/>
      <c r="U183" s="283"/>
      <c r="V183" s="282">
        <f>+R183+U183</f>
        <v>1918667</v>
      </c>
      <c r="W183" s="109">
        <f>+Q183+V183</f>
        <v>1918667</v>
      </c>
      <c r="X183" s="93"/>
      <c r="Y183" s="107">
        <f>+R183</f>
        <v>1918667</v>
      </c>
      <c r="Z183" s="88">
        <f t="shared" si="31"/>
        <v>1918667</v>
      </c>
      <c r="AA183" s="50"/>
      <c r="AB183" s="50"/>
      <c r="AC183" s="50"/>
      <c r="AD183" s="103"/>
      <c r="AE183" s="86" t="s">
        <v>180</v>
      </c>
      <c r="AF183" s="107"/>
      <c r="AG183" s="49"/>
    </row>
    <row r="184" spans="2:35" ht="66" customHeight="1" x14ac:dyDescent="0.25">
      <c r="B184" s="1050"/>
      <c r="C184" s="1050"/>
      <c r="D184" s="1013"/>
      <c r="E184" s="1124"/>
      <c r="F184" s="1013"/>
      <c r="G184" s="1126"/>
      <c r="H184" s="1085"/>
      <c r="I184" s="95"/>
      <c r="J184" s="95">
        <v>105</v>
      </c>
      <c r="K184" s="292" t="s">
        <v>179</v>
      </c>
      <c r="L184" s="95" t="s">
        <v>36</v>
      </c>
      <c r="M184" s="95">
        <v>9</v>
      </c>
      <c r="N184" s="95" t="s">
        <v>56</v>
      </c>
      <c r="O184" s="281">
        <f>55459600-55459600</f>
        <v>0</v>
      </c>
      <c r="P184" s="94"/>
      <c r="Q184" s="280">
        <f>+O184+P184</f>
        <v>0</v>
      </c>
      <c r="R184" s="94"/>
      <c r="S184" s="283"/>
      <c r="T184" s="283"/>
      <c r="U184" s="283"/>
      <c r="V184" s="283">
        <f>+R184+U184</f>
        <v>0</v>
      </c>
      <c r="W184" s="91">
        <f>+Q184+V184</f>
        <v>0</v>
      </c>
      <c r="X184" s="93"/>
      <c r="Y184" s="50"/>
      <c r="Z184" s="88">
        <f t="shared" si="31"/>
        <v>0</v>
      </c>
      <c r="AA184" s="50"/>
      <c r="AB184" s="50"/>
      <c r="AC184" s="50"/>
      <c r="AD184" s="103"/>
      <c r="AE184" s="86"/>
      <c r="AF184" s="50"/>
      <c r="AG184" s="49"/>
    </row>
    <row r="185" spans="2:35" ht="75" customHeight="1" x14ac:dyDescent="0.25">
      <c r="B185" s="1050"/>
      <c r="C185" s="1050"/>
      <c r="D185" s="1013"/>
      <c r="E185" s="1124"/>
      <c r="F185" s="1013"/>
      <c r="G185" s="1126"/>
      <c r="H185" s="1085"/>
      <c r="I185" s="95"/>
      <c r="J185" s="95">
        <v>318</v>
      </c>
      <c r="K185" s="292" t="s">
        <v>178</v>
      </c>
      <c r="L185" s="95" t="s">
        <v>40</v>
      </c>
      <c r="M185" s="95">
        <v>8</v>
      </c>
      <c r="N185" s="95" t="s">
        <v>56</v>
      </c>
      <c r="O185" s="266">
        <v>3537000</v>
      </c>
      <c r="P185" s="94"/>
      <c r="Q185" s="280"/>
      <c r="R185" s="94"/>
      <c r="S185" s="283"/>
      <c r="T185" s="283"/>
      <c r="U185" s="283"/>
      <c r="V185" s="283"/>
      <c r="W185" s="91">
        <f>+O185+R185</f>
        <v>3537000</v>
      </c>
      <c r="X185" s="93">
        <v>3537000</v>
      </c>
      <c r="Y185" s="50"/>
      <c r="Z185" s="88">
        <f t="shared" si="31"/>
        <v>3537000</v>
      </c>
      <c r="AA185" s="87">
        <v>41534</v>
      </c>
      <c r="AB185" s="50">
        <v>105</v>
      </c>
      <c r="AC185" s="291" t="s">
        <v>177</v>
      </c>
      <c r="AD185" s="103"/>
      <c r="AE185" s="86"/>
      <c r="AF185" s="50"/>
      <c r="AG185" s="49"/>
      <c r="AH185" s="3">
        <f t="shared" ref="AH185:AH190" si="39">+AI185/Z185</f>
        <v>0</v>
      </c>
      <c r="AI185" s="2">
        <v>0</v>
      </c>
    </row>
    <row r="186" spans="2:35" ht="56.25" customHeight="1" x14ac:dyDescent="0.25">
      <c r="B186" s="1050"/>
      <c r="C186" s="1050"/>
      <c r="D186" s="1013"/>
      <c r="E186" s="1124"/>
      <c r="F186" s="1013"/>
      <c r="G186" s="1126"/>
      <c r="H186" s="1085"/>
      <c r="I186" s="95"/>
      <c r="J186" s="95">
        <v>320</v>
      </c>
      <c r="K186" s="290" t="s">
        <v>176</v>
      </c>
      <c r="L186" s="121" t="s">
        <v>45</v>
      </c>
      <c r="M186" s="121">
        <v>1</v>
      </c>
      <c r="N186" s="121" t="s">
        <v>56</v>
      </c>
      <c r="O186" s="289">
        <v>3537000</v>
      </c>
      <c r="P186" s="116"/>
      <c r="Q186" s="288"/>
      <c r="R186" s="116"/>
      <c r="S186" s="287"/>
      <c r="T186" s="287"/>
      <c r="U186" s="287"/>
      <c r="V186" s="287"/>
      <c r="W186" s="109">
        <f>+O186+R186</f>
        <v>3537000</v>
      </c>
      <c r="X186" s="93">
        <v>3537000</v>
      </c>
      <c r="Y186" s="50"/>
      <c r="Z186" s="88">
        <f t="shared" si="31"/>
        <v>3537000</v>
      </c>
      <c r="AA186" s="50"/>
      <c r="AB186" s="50">
        <v>14</v>
      </c>
      <c r="AC186" s="50" t="s">
        <v>175</v>
      </c>
      <c r="AD186" s="103"/>
      <c r="AE186" s="86"/>
      <c r="AF186" s="50"/>
      <c r="AG186" s="49"/>
      <c r="AH186" s="3">
        <f t="shared" si="39"/>
        <v>1</v>
      </c>
      <c r="AI186" s="2">
        <v>3537000</v>
      </c>
    </row>
    <row r="187" spans="2:35" ht="64.5" customHeight="1" x14ac:dyDescent="0.25">
      <c r="B187" s="1050"/>
      <c r="C187" s="1050"/>
      <c r="D187" s="1013"/>
      <c r="E187" s="1124"/>
      <c r="F187" s="1013"/>
      <c r="G187" s="1126"/>
      <c r="H187" s="1085"/>
      <c r="I187" s="95" t="s">
        <v>29</v>
      </c>
      <c r="J187" s="95">
        <v>319</v>
      </c>
      <c r="K187" s="244" t="s">
        <v>174</v>
      </c>
      <c r="L187" s="95" t="s">
        <v>27</v>
      </c>
      <c r="M187" s="95">
        <v>8</v>
      </c>
      <c r="N187" s="95" t="s">
        <v>173</v>
      </c>
      <c r="O187" s="281">
        <f>60145000-2948000-10000000+48385600</f>
        <v>95582600</v>
      </c>
      <c r="P187" s="94"/>
      <c r="Q187" s="280">
        <f>+O187+P187</f>
        <v>95582600</v>
      </c>
      <c r="R187" s="94"/>
      <c r="S187" s="283"/>
      <c r="T187" s="283"/>
      <c r="U187" s="283"/>
      <c r="V187" s="283">
        <f>+R187+U187</f>
        <v>0</v>
      </c>
      <c r="W187" s="91">
        <f>+Q187+V187</f>
        <v>95582600</v>
      </c>
      <c r="X187" s="93">
        <v>95582600</v>
      </c>
      <c r="Y187" s="50"/>
      <c r="Z187" s="88">
        <f t="shared" si="31"/>
        <v>95582600</v>
      </c>
      <c r="AA187" s="87">
        <v>41572</v>
      </c>
      <c r="AB187" s="50">
        <v>120</v>
      </c>
      <c r="AC187" s="50" t="s">
        <v>172</v>
      </c>
      <c r="AD187" s="103"/>
      <c r="AE187" s="286"/>
      <c r="AF187" s="50"/>
      <c r="AG187" s="49"/>
      <c r="AH187" s="3">
        <f t="shared" si="39"/>
        <v>0</v>
      </c>
      <c r="AI187" s="271"/>
    </row>
    <row r="188" spans="2:35" ht="66.75" customHeight="1" x14ac:dyDescent="0.25">
      <c r="B188" s="1050"/>
      <c r="C188" s="1050"/>
      <c r="D188" s="1013"/>
      <c r="E188" s="1124"/>
      <c r="F188" s="1013"/>
      <c r="G188" s="1126"/>
      <c r="H188" s="1085"/>
      <c r="I188" s="95" t="s">
        <v>29</v>
      </c>
      <c r="J188" s="95">
        <v>169</v>
      </c>
      <c r="K188" s="246" t="s">
        <v>171</v>
      </c>
      <c r="L188" s="95" t="s">
        <v>48</v>
      </c>
      <c r="M188" s="95">
        <v>9</v>
      </c>
      <c r="N188" s="95" t="s">
        <v>56</v>
      </c>
      <c r="O188" s="281">
        <f>26527000-20632000</f>
        <v>5895000</v>
      </c>
      <c r="P188" s="262"/>
      <c r="Q188" s="280">
        <f>+O188+P188</f>
        <v>5895000</v>
      </c>
      <c r="R188" s="94"/>
      <c r="S188" s="283"/>
      <c r="T188" s="283"/>
      <c r="U188" s="283"/>
      <c r="V188" s="282">
        <f>+R188+U188</f>
        <v>0</v>
      </c>
      <c r="W188" s="91">
        <f>+Q188+V188</f>
        <v>5895000</v>
      </c>
      <c r="X188" s="93">
        <v>5895000</v>
      </c>
      <c r="Y188" s="50"/>
      <c r="Z188" s="88">
        <f t="shared" si="31"/>
        <v>5895000</v>
      </c>
      <c r="AA188" s="87">
        <v>41414</v>
      </c>
      <c r="AB188" s="50">
        <v>52</v>
      </c>
      <c r="AC188" s="50" t="s">
        <v>163</v>
      </c>
      <c r="AD188" s="103"/>
      <c r="AE188" s="86"/>
      <c r="AF188" s="50"/>
      <c r="AG188" s="49"/>
      <c r="AH188" s="3">
        <f t="shared" si="39"/>
        <v>0</v>
      </c>
      <c r="AI188" s="2">
        <v>0</v>
      </c>
    </row>
    <row r="189" spans="2:35" ht="53.25" customHeight="1" x14ac:dyDescent="0.25">
      <c r="B189" s="1050"/>
      <c r="C189" s="1050"/>
      <c r="D189" s="1013"/>
      <c r="E189" s="1124"/>
      <c r="F189" s="1013"/>
      <c r="G189" s="1126"/>
      <c r="H189" s="1085"/>
      <c r="I189" s="95" t="s">
        <v>29</v>
      </c>
      <c r="J189" s="95">
        <v>258</v>
      </c>
      <c r="K189" s="246" t="s">
        <v>170</v>
      </c>
      <c r="L189" s="95" t="s">
        <v>57</v>
      </c>
      <c r="M189" s="95">
        <v>8</v>
      </c>
      <c r="N189" s="95" t="s">
        <v>56</v>
      </c>
      <c r="O189" s="281">
        <f>20632000+2948000</f>
        <v>23580000</v>
      </c>
      <c r="P189" s="262"/>
      <c r="Q189" s="280"/>
      <c r="R189" s="94"/>
      <c r="S189" s="283"/>
      <c r="T189" s="283"/>
      <c r="U189" s="283"/>
      <c r="V189" s="282"/>
      <c r="W189" s="91">
        <f>+O189+R189</f>
        <v>23580000</v>
      </c>
      <c r="X189" s="93">
        <v>23580000</v>
      </c>
      <c r="Y189" s="50"/>
      <c r="Z189" s="88">
        <f t="shared" si="31"/>
        <v>23580000</v>
      </c>
      <c r="AA189" s="87">
        <v>41572</v>
      </c>
      <c r="AB189" s="50">
        <v>122</v>
      </c>
      <c r="AC189" s="50" t="s">
        <v>163</v>
      </c>
      <c r="AD189" s="103"/>
      <c r="AE189" s="86"/>
      <c r="AF189" s="50"/>
      <c r="AG189" s="49"/>
      <c r="AH189" s="3">
        <f t="shared" si="39"/>
        <v>0.875</v>
      </c>
      <c r="AI189" s="2">
        <v>20632500</v>
      </c>
    </row>
    <row r="190" spans="2:35" ht="48.75" customHeight="1" x14ac:dyDescent="0.2">
      <c r="B190" s="1050"/>
      <c r="C190" s="1050"/>
      <c r="D190" s="1013"/>
      <c r="E190" s="1124"/>
      <c r="F190" s="1013"/>
      <c r="G190" s="1126"/>
      <c r="H190" s="1085"/>
      <c r="I190" s="95" t="s">
        <v>29</v>
      </c>
      <c r="J190" s="95">
        <v>170</v>
      </c>
      <c r="K190" s="264" t="s">
        <v>169</v>
      </c>
      <c r="L190" s="95" t="s">
        <v>36</v>
      </c>
      <c r="M190" s="95">
        <v>6</v>
      </c>
      <c r="N190" s="95" t="s">
        <v>168</v>
      </c>
      <c r="O190" s="285">
        <v>100000000</v>
      </c>
      <c r="P190" s="262"/>
      <c r="Q190" s="280">
        <f>+O190+P190</f>
        <v>100000000</v>
      </c>
      <c r="R190" s="94"/>
      <c r="S190" s="283"/>
      <c r="T190" s="283"/>
      <c r="U190" s="283"/>
      <c r="V190" s="282">
        <f>+R190+U190</f>
        <v>0</v>
      </c>
      <c r="W190" s="91">
        <f>+Q190+V190</f>
        <v>100000000</v>
      </c>
      <c r="X190" s="93">
        <v>100000000</v>
      </c>
      <c r="Y190" s="50"/>
      <c r="Z190" s="88">
        <f t="shared" si="31"/>
        <v>100000000</v>
      </c>
      <c r="AA190" s="87">
        <v>41437</v>
      </c>
      <c r="AB190" s="50">
        <v>90</v>
      </c>
      <c r="AC190" s="50" t="s">
        <v>167</v>
      </c>
      <c r="AD190" s="103"/>
      <c r="AE190" s="86"/>
      <c r="AF190" s="50"/>
      <c r="AG190" s="49"/>
      <c r="AH190" s="3">
        <f t="shared" si="39"/>
        <v>0</v>
      </c>
      <c r="AI190" s="2">
        <v>0</v>
      </c>
    </row>
    <row r="191" spans="2:35" ht="65.25" customHeight="1" x14ac:dyDescent="0.2">
      <c r="B191" s="1050"/>
      <c r="C191" s="1050"/>
      <c r="D191" s="1013"/>
      <c r="E191" s="1124"/>
      <c r="F191" s="1013"/>
      <c r="G191" s="1126"/>
      <c r="H191" s="1085"/>
      <c r="I191" s="95"/>
      <c r="J191" s="95">
        <v>171</v>
      </c>
      <c r="K191" s="244" t="s">
        <v>166</v>
      </c>
      <c r="L191" s="95" t="s">
        <v>57</v>
      </c>
      <c r="M191" s="95">
        <v>2</v>
      </c>
      <c r="N191" s="95" t="s">
        <v>56</v>
      </c>
      <c r="O191" s="284">
        <f>10000000-10000000</f>
        <v>0</v>
      </c>
      <c r="P191" s="262"/>
      <c r="Q191" s="280">
        <f>+O191+P191</f>
        <v>0</v>
      </c>
      <c r="R191" s="94"/>
      <c r="S191" s="283"/>
      <c r="T191" s="283"/>
      <c r="U191" s="283"/>
      <c r="V191" s="282">
        <f>+R191+U191</f>
        <v>0</v>
      </c>
      <c r="W191" s="91">
        <f>+Q191+V191</f>
        <v>0</v>
      </c>
      <c r="X191" s="50"/>
      <c r="Y191" s="50"/>
      <c r="Z191" s="88">
        <f t="shared" si="31"/>
        <v>0</v>
      </c>
      <c r="AA191" s="50"/>
      <c r="AB191" s="50"/>
      <c r="AC191" s="50"/>
      <c r="AD191" s="103"/>
      <c r="AE191" s="86"/>
      <c r="AF191" s="50"/>
      <c r="AG191" s="49"/>
    </row>
    <row r="192" spans="2:35" ht="45.75" customHeight="1" x14ac:dyDescent="0.25">
      <c r="B192" s="1050"/>
      <c r="C192" s="1050"/>
      <c r="D192" s="1013"/>
      <c r="E192" s="1124"/>
      <c r="F192" s="1013"/>
      <c r="G192" s="1126"/>
      <c r="H192" s="1085"/>
      <c r="I192" s="95" t="s">
        <v>29</v>
      </c>
      <c r="J192" s="154">
        <v>133</v>
      </c>
      <c r="K192" s="216" t="s">
        <v>165</v>
      </c>
      <c r="L192" s="95" t="s">
        <v>75</v>
      </c>
      <c r="M192" s="95">
        <v>3</v>
      </c>
      <c r="N192" s="95" t="s">
        <v>56</v>
      </c>
      <c r="O192" s="281">
        <v>6800400</v>
      </c>
      <c r="Q192" s="280">
        <f>+O192+P192</f>
        <v>6800400</v>
      </c>
      <c r="R192" s="107"/>
      <c r="S192" s="50"/>
      <c r="T192" s="50"/>
      <c r="U192" s="50"/>
      <c r="V192" s="49"/>
      <c r="W192" s="91">
        <f>+Q192+V192</f>
        <v>6800400</v>
      </c>
      <c r="X192" s="262">
        <v>6800400</v>
      </c>
      <c r="Y192" s="50"/>
      <c r="Z192" s="88">
        <f t="shared" si="31"/>
        <v>6800400</v>
      </c>
      <c r="AA192" s="87">
        <v>41313</v>
      </c>
      <c r="AB192" s="279" t="s">
        <v>164</v>
      </c>
      <c r="AC192" s="279" t="s">
        <v>163</v>
      </c>
      <c r="AD192" s="103"/>
      <c r="AE192" s="86"/>
      <c r="AF192" s="50"/>
      <c r="AG192" s="49"/>
      <c r="AH192" s="3">
        <f>+AI192/Z192</f>
        <v>0</v>
      </c>
    </row>
    <row r="193" spans="2:36" ht="32.25" customHeight="1" x14ac:dyDescent="0.25">
      <c r="B193" s="1050"/>
      <c r="C193" s="1050"/>
      <c r="D193" s="1013"/>
      <c r="E193" s="1124"/>
      <c r="F193" s="1013"/>
      <c r="G193" s="1089" t="s">
        <v>24</v>
      </c>
      <c r="H193" s="1069"/>
      <c r="I193" s="1069"/>
      <c r="J193" s="1069"/>
      <c r="K193" s="1069"/>
      <c r="L193" s="1069"/>
      <c r="M193" s="1069"/>
      <c r="N193" s="1090"/>
      <c r="O193" s="278">
        <f t="shared" ref="O193:V193" si="40">SUM(O183:O192)</f>
        <v>238932000</v>
      </c>
      <c r="P193" s="278">
        <f t="shared" si="40"/>
        <v>0</v>
      </c>
      <c r="Q193" s="278">
        <f t="shared" si="40"/>
        <v>208278000</v>
      </c>
      <c r="R193" s="278">
        <f t="shared" si="40"/>
        <v>1918667</v>
      </c>
      <c r="S193" s="278">
        <f t="shared" si="40"/>
        <v>0</v>
      </c>
      <c r="T193" s="278">
        <f t="shared" si="40"/>
        <v>0</v>
      </c>
      <c r="U193" s="278">
        <f t="shared" si="40"/>
        <v>0</v>
      </c>
      <c r="V193" s="278">
        <f t="shared" si="40"/>
        <v>1918667</v>
      </c>
      <c r="W193" s="278">
        <f>+O193+R193</f>
        <v>240850667</v>
      </c>
      <c r="X193" s="227">
        <f>SUM(X183:X192)</f>
        <v>238932000</v>
      </c>
      <c r="Y193" s="227">
        <f>SUM(Y183:Y192)</f>
        <v>1918667</v>
      </c>
      <c r="Z193" s="88">
        <f t="shared" si="31"/>
        <v>240850667</v>
      </c>
      <c r="AA193" s="78"/>
      <c r="AB193" s="78"/>
      <c r="AC193" s="78"/>
      <c r="AD193" s="79">
        <f>+Z193/W193</f>
        <v>1</v>
      </c>
      <c r="AE193" s="78"/>
      <c r="AF193" s="277">
        <f>SUM(AF183:AF192)</f>
        <v>0</v>
      </c>
      <c r="AG193" s="276">
        <f>SUM(AG183:AG192)</f>
        <v>0</v>
      </c>
      <c r="AH193" s="3">
        <f>+AI193/Z193</f>
        <v>0</v>
      </c>
    </row>
    <row r="194" spans="2:36" ht="48" customHeight="1" x14ac:dyDescent="0.25">
      <c r="B194" s="1050"/>
      <c r="C194" s="1050"/>
      <c r="D194" s="1014"/>
      <c r="E194" s="1125"/>
      <c r="F194" s="1014"/>
      <c r="G194" s="1015" t="s">
        <v>162</v>
      </c>
      <c r="H194" s="1016"/>
      <c r="I194" s="1016"/>
      <c r="J194" s="1016"/>
      <c r="K194" s="1016"/>
      <c r="L194" s="1016"/>
      <c r="M194" s="1016"/>
      <c r="N194" s="1017"/>
      <c r="O194" s="91">
        <f>+O193</f>
        <v>238932000</v>
      </c>
      <c r="P194" s="91">
        <f>+P193</f>
        <v>0</v>
      </c>
      <c r="Q194" s="91">
        <f>+O194+P194</f>
        <v>238932000</v>
      </c>
      <c r="R194" s="91">
        <f>+R193</f>
        <v>1918667</v>
      </c>
      <c r="S194" s="91" t="e">
        <f>+#REF!</f>
        <v>#REF!</v>
      </c>
      <c r="T194" s="91"/>
      <c r="U194" s="91" t="e">
        <f>+#REF!</f>
        <v>#REF!</v>
      </c>
      <c r="V194" s="127" t="e">
        <f>+R194+U194</f>
        <v>#REF!</v>
      </c>
      <c r="W194" s="91">
        <f>+O194+R194</f>
        <v>240850667</v>
      </c>
      <c r="X194" s="190">
        <f>+X193</f>
        <v>238932000</v>
      </c>
      <c r="Y194" s="190">
        <f>+Y193</f>
        <v>1918667</v>
      </c>
      <c r="Z194" s="88">
        <f t="shared" si="31"/>
        <v>240850667</v>
      </c>
      <c r="AA194" s="71"/>
      <c r="AB194" s="71"/>
      <c r="AC194" s="71"/>
      <c r="AD194" s="70">
        <f>+Z194/W194</f>
        <v>1</v>
      </c>
      <c r="AE194" s="71"/>
      <c r="AF194" s="275">
        <f>+AF193</f>
        <v>0</v>
      </c>
      <c r="AG194" s="274">
        <f>+AG193</f>
        <v>0</v>
      </c>
      <c r="AH194" s="3">
        <f>+AI194/Z194</f>
        <v>0</v>
      </c>
    </row>
    <row r="195" spans="2:36" ht="56.25" customHeight="1" x14ac:dyDescent="0.25">
      <c r="B195" s="1050" t="str">
        <f>+B183</f>
        <v>PROYECTO NO. 702 Investigación e innovación para la construcción de conocimiento educativo y pedagógico.</v>
      </c>
      <c r="C195" s="1050">
        <f>+C183</f>
        <v>0</v>
      </c>
      <c r="D195" s="1012" t="s">
        <v>161</v>
      </c>
      <c r="E195" s="1012" t="s">
        <v>160</v>
      </c>
      <c r="F195" s="1012" t="s">
        <v>159</v>
      </c>
      <c r="G195" s="1018" t="s">
        <v>158</v>
      </c>
      <c r="H195" s="1086" t="s">
        <v>157</v>
      </c>
      <c r="I195" s="268" t="s">
        <v>29</v>
      </c>
      <c r="J195" s="268">
        <v>172</v>
      </c>
      <c r="K195" s="273" t="s">
        <v>156</v>
      </c>
      <c r="L195" s="242" t="s">
        <v>36</v>
      </c>
      <c r="M195" s="224">
        <v>9</v>
      </c>
      <c r="N195" s="224" t="s">
        <v>56</v>
      </c>
      <c r="O195" s="266">
        <v>70740000</v>
      </c>
      <c r="P195" s="262"/>
      <c r="Q195" s="94">
        <f>+O195+P195</f>
        <v>70740000</v>
      </c>
      <c r="R195" s="93"/>
      <c r="S195" s="93"/>
      <c r="T195" s="93"/>
      <c r="U195" s="93"/>
      <c r="V195" s="92"/>
      <c r="W195" s="91">
        <f>+Q195+V195</f>
        <v>70740000</v>
      </c>
      <c r="X195" s="137">
        <v>70740000</v>
      </c>
      <c r="Y195" s="136"/>
      <c r="Z195" s="88">
        <f t="shared" si="31"/>
        <v>70740000</v>
      </c>
      <c r="AA195" s="87">
        <v>41423</v>
      </c>
      <c r="AB195" s="50">
        <v>54</v>
      </c>
      <c r="AC195" s="50" t="s">
        <v>155</v>
      </c>
      <c r="AD195" s="103"/>
      <c r="AE195" s="86"/>
      <c r="AF195" s="50"/>
      <c r="AG195" s="49"/>
      <c r="AH195" s="3">
        <f>+AI195/Z195</f>
        <v>0.2</v>
      </c>
      <c r="AI195" s="2">
        <v>14148000</v>
      </c>
      <c r="AJ195" s="1" t="s">
        <v>154</v>
      </c>
    </row>
    <row r="196" spans="2:36" ht="63" customHeight="1" x14ac:dyDescent="0.25">
      <c r="B196" s="1050"/>
      <c r="C196" s="1050"/>
      <c r="D196" s="1013"/>
      <c r="E196" s="1013"/>
      <c r="F196" s="1013"/>
      <c r="G196" s="1018"/>
      <c r="H196" s="1086"/>
      <c r="I196" s="268"/>
      <c r="J196" s="268"/>
      <c r="K196" s="272" t="s">
        <v>153</v>
      </c>
      <c r="L196" s="242" t="s">
        <v>27</v>
      </c>
      <c r="M196" s="224">
        <v>9</v>
      </c>
      <c r="N196" s="224" t="s">
        <v>56</v>
      </c>
      <c r="O196" s="266">
        <f>15000000-15000000</f>
        <v>0</v>
      </c>
      <c r="P196" s="262"/>
      <c r="Q196" s="94">
        <f>+O196+P196</f>
        <v>0</v>
      </c>
      <c r="R196" s="93"/>
      <c r="S196" s="93"/>
      <c r="T196" s="93"/>
      <c r="U196" s="93"/>
      <c r="V196" s="92"/>
      <c r="W196" s="91">
        <f>+Q196+V196</f>
        <v>0</v>
      </c>
      <c r="X196" s="133"/>
      <c r="Y196" s="50"/>
      <c r="Z196" s="88">
        <f t="shared" si="31"/>
        <v>0</v>
      </c>
      <c r="AA196" s="50"/>
      <c r="AB196" s="50"/>
      <c r="AC196" s="50"/>
      <c r="AD196" s="103"/>
      <c r="AE196" s="86"/>
      <c r="AF196" s="50"/>
      <c r="AG196" s="49"/>
    </row>
    <row r="197" spans="2:36" ht="70.5" customHeight="1" x14ac:dyDescent="0.25">
      <c r="B197" s="1050"/>
      <c r="C197" s="1050"/>
      <c r="D197" s="1013"/>
      <c r="E197" s="1013"/>
      <c r="F197" s="1013"/>
      <c r="G197" s="1018"/>
      <c r="H197" s="1086"/>
      <c r="I197" s="268" t="s">
        <v>29</v>
      </c>
      <c r="J197" s="268">
        <v>319</v>
      </c>
      <c r="K197" s="272" t="s">
        <v>152</v>
      </c>
      <c r="L197" s="242" t="s">
        <v>151</v>
      </c>
      <c r="M197" s="224">
        <v>10</v>
      </c>
      <c r="N197" s="224" t="s">
        <v>56</v>
      </c>
      <c r="O197" s="266">
        <f>15000000+4785000</f>
        <v>19785000</v>
      </c>
      <c r="P197" s="262"/>
      <c r="Q197" s="94"/>
      <c r="R197" s="93"/>
      <c r="S197" s="93"/>
      <c r="T197" s="93"/>
      <c r="U197" s="93"/>
      <c r="V197" s="92"/>
      <c r="W197" s="91">
        <f>+O197+R197</f>
        <v>19785000</v>
      </c>
      <c r="X197" s="137">
        <v>19785000</v>
      </c>
      <c r="Y197" s="136"/>
      <c r="Z197" s="88">
        <f t="shared" si="31"/>
        <v>19785000</v>
      </c>
      <c r="AA197" s="87">
        <v>41572</v>
      </c>
      <c r="AB197" s="50">
        <v>120</v>
      </c>
      <c r="AC197" s="50" t="s">
        <v>150</v>
      </c>
      <c r="AD197" s="103"/>
      <c r="AE197" s="86"/>
      <c r="AF197" s="50"/>
      <c r="AG197" s="49"/>
      <c r="AH197" s="3">
        <f>+AI197/Z197</f>
        <v>0</v>
      </c>
      <c r="AI197" s="271"/>
    </row>
    <row r="198" spans="2:36" ht="70.5" customHeight="1" x14ac:dyDescent="0.25">
      <c r="B198" s="1050"/>
      <c r="C198" s="1050"/>
      <c r="D198" s="1013"/>
      <c r="E198" s="1013"/>
      <c r="F198" s="1013"/>
      <c r="G198" s="1018"/>
      <c r="H198" s="1086"/>
      <c r="I198" s="268"/>
      <c r="J198" s="268"/>
      <c r="K198" s="270" t="s">
        <v>149</v>
      </c>
      <c r="L198" s="269" t="s">
        <v>36</v>
      </c>
      <c r="M198" s="224">
        <v>9</v>
      </c>
      <c r="N198" s="224" t="s">
        <v>56</v>
      </c>
      <c r="O198" s="266">
        <f>4785000-4785000</f>
        <v>0</v>
      </c>
      <c r="P198" s="262"/>
      <c r="Q198" s="94">
        <f>+O198+P198</f>
        <v>0</v>
      </c>
      <c r="R198" s="93"/>
      <c r="S198" s="93"/>
      <c r="T198" s="93"/>
      <c r="U198" s="93"/>
      <c r="V198" s="92"/>
      <c r="W198" s="91">
        <f>+Q198+V198</f>
        <v>0</v>
      </c>
      <c r="X198" s="137"/>
      <c r="Y198" s="136"/>
      <c r="Z198" s="88">
        <f t="shared" si="31"/>
        <v>0</v>
      </c>
      <c r="AA198" s="50"/>
      <c r="AB198" s="50"/>
      <c r="AC198" s="50"/>
      <c r="AD198" s="103"/>
      <c r="AE198" s="86"/>
      <c r="AF198" s="50"/>
      <c r="AG198" s="49"/>
    </row>
    <row r="199" spans="2:36" ht="64.5" customHeight="1" x14ac:dyDescent="0.25">
      <c r="B199" s="1050"/>
      <c r="C199" s="1050"/>
      <c r="D199" s="1013"/>
      <c r="E199" s="1013"/>
      <c r="F199" s="1013"/>
      <c r="G199" s="1018"/>
      <c r="H199" s="1086"/>
      <c r="I199" s="268"/>
      <c r="J199" s="268"/>
      <c r="K199" s="267" t="s">
        <v>148</v>
      </c>
      <c r="L199" s="242" t="s">
        <v>27</v>
      </c>
      <c r="M199" s="224">
        <v>5</v>
      </c>
      <c r="N199" s="224" t="s">
        <v>56</v>
      </c>
      <c r="O199" s="266">
        <f>14737500-14737500</f>
        <v>0</v>
      </c>
      <c r="P199" s="262"/>
      <c r="Q199" s="94">
        <f>+O199+P199</f>
        <v>0</v>
      </c>
      <c r="R199" s="93"/>
      <c r="S199" s="93"/>
      <c r="T199" s="93"/>
      <c r="U199" s="93"/>
      <c r="V199" s="92"/>
      <c r="W199" s="91">
        <f>+O199+R199</f>
        <v>0</v>
      </c>
      <c r="X199" s="137"/>
      <c r="Y199" s="136"/>
      <c r="Z199" s="88">
        <f t="shared" si="31"/>
        <v>0</v>
      </c>
      <c r="AA199" s="50"/>
      <c r="AB199" s="50"/>
      <c r="AC199" s="50"/>
      <c r="AD199" s="103"/>
      <c r="AE199" s="86"/>
      <c r="AF199" s="50"/>
      <c r="AG199" s="49"/>
    </row>
    <row r="200" spans="2:36" ht="51" customHeight="1" x14ac:dyDescent="0.25">
      <c r="B200" s="1050"/>
      <c r="C200" s="1050"/>
      <c r="D200" s="1013"/>
      <c r="E200" s="1013"/>
      <c r="F200" s="1013"/>
      <c r="G200" s="1018"/>
      <c r="H200" s="1086"/>
      <c r="I200" s="268"/>
      <c r="J200" s="268"/>
      <c r="K200" s="267" t="s">
        <v>147</v>
      </c>
      <c r="L200" s="242" t="s">
        <v>27</v>
      </c>
      <c r="M200" s="224">
        <v>5</v>
      </c>
      <c r="N200" s="224" t="s">
        <v>56</v>
      </c>
      <c r="O200" s="266">
        <f>14737500-14737500</f>
        <v>0</v>
      </c>
      <c r="P200" s="262"/>
      <c r="Q200" s="94">
        <f>+O200+P200</f>
        <v>0</v>
      </c>
      <c r="R200" s="93"/>
      <c r="S200" s="93"/>
      <c r="T200" s="93"/>
      <c r="U200" s="93"/>
      <c r="V200" s="92"/>
      <c r="W200" s="91">
        <f>+O200+R200</f>
        <v>0</v>
      </c>
      <c r="X200" s="136"/>
      <c r="Y200" s="136"/>
      <c r="Z200" s="88">
        <f t="shared" si="31"/>
        <v>0</v>
      </c>
      <c r="AA200" s="50"/>
      <c r="AB200" s="50"/>
      <c r="AC200" s="50"/>
      <c r="AD200" s="103"/>
      <c r="AE200" s="86"/>
      <c r="AF200" s="50"/>
      <c r="AG200" s="49"/>
    </row>
    <row r="201" spans="2:36" ht="87.75" customHeight="1" x14ac:dyDescent="0.25">
      <c r="B201" s="1050"/>
      <c r="C201" s="1050"/>
      <c r="D201" s="1013"/>
      <c r="E201" s="1013"/>
      <c r="F201" s="1013"/>
      <c r="G201" s="1018"/>
      <c r="H201" s="1086"/>
      <c r="I201" s="265" t="s">
        <v>29</v>
      </c>
      <c r="J201" s="265">
        <v>291</v>
      </c>
      <c r="K201" s="264" t="s">
        <v>146</v>
      </c>
      <c r="L201" s="242" t="s">
        <v>27</v>
      </c>
      <c r="M201" s="224">
        <v>5</v>
      </c>
      <c r="N201" s="224" t="s">
        <v>56</v>
      </c>
      <c r="O201" s="263">
        <v>14737500</v>
      </c>
      <c r="P201" s="262"/>
      <c r="Q201" s="94"/>
      <c r="R201" s="93"/>
      <c r="S201" s="93"/>
      <c r="T201" s="93"/>
      <c r="U201" s="93"/>
      <c r="V201" s="92"/>
      <c r="W201" s="91">
        <f>+O201+R201</f>
        <v>14737500</v>
      </c>
      <c r="X201" s="136">
        <v>14737500</v>
      </c>
      <c r="Y201" s="136"/>
      <c r="Z201" s="88">
        <f t="shared" si="31"/>
        <v>14737500</v>
      </c>
      <c r="AA201" s="87">
        <v>41506</v>
      </c>
      <c r="AB201" s="50">
        <v>83</v>
      </c>
      <c r="AC201" s="50" t="s">
        <v>145</v>
      </c>
      <c r="AD201" s="103"/>
      <c r="AE201" s="86"/>
      <c r="AF201" s="50"/>
      <c r="AG201" s="49"/>
      <c r="AH201" s="3">
        <f>+AI201/Z201</f>
        <v>0.6</v>
      </c>
      <c r="AI201" s="2">
        <v>8842500</v>
      </c>
    </row>
    <row r="202" spans="2:36" ht="65.25" customHeight="1" x14ac:dyDescent="0.25">
      <c r="B202" s="1050"/>
      <c r="C202" s="1050"/>
      <c r="D202" s="1013"/>
      <c r="E202" s="1013"/>
      <c r="F202" s="1013"/>
      <c r="G202" s="1018"/>
      <c r="H202" s="1086"/>
      <c r="I202" s="265" t="s">
        <v>29</v>
      </c>
      <c r="J202" s="265">
        <v>292</v>
      </c>
      <c r="K202" s="264" t="s">
        <v>144</v>
      </c>
      <c r="L202" s="242" t="s">
        <v>143</v>
      </c>
      <c r="M202" s="224">
        <v>5</v>
      </c>
      <c r="N202" s="224" t="s">
        <v>56</v>
      </c>
      <c r="O202" s="263">
        <v>14737500</v>
      </c>
      <c r="P202" s="262"/>
      <c r="Q202" s="94"/>
      <c r="R202" s="93"/>
      <c r="S202" s="93"/>
      <c r="T202" s="93"/>
      <c r="U202" s="93"/>
      <c r="V202" s="92"/>
      <c r="W202" s="91">
        <f>+O202+R202</f>
        <v>14737500</v>
      </c>
      <c r="X202" s="107">
        <v>14737500</v>
      </c>
      <c r="Y202" s="50"/>
      <c r="Z202" s="88">
        <f t="shared" si="31"/>
        <v>14737500</v>
      </c>
      <c r="AA202" s="87">
        <v>41491</v>
      </c>
      <c r="AB202" s="261">
        <v>76</v>
      </c>
      <c r="AC202" s="50" t="s">
        <v>142</v>
      </c>
      <c r="AD202" s="103"/>
      <c r="AE202" s="86"/>
      <c r="AF202" s="50"/>
      <c r="AG202" s="49"/>
      <c r="AH202" s="3">
        <f>+AI202/Z202</f>
        <v>0.6</v>
      </c>
      <c r="AI202" s="2">
        <v>8842500</v>
      </c>
    </row>
    <row r="203" spans="2:36" ht="36.75" customHeight="1" x14ac:dyDescent="0.25">
      <c r="B203" s="1050"/>
      <c r="C203" s="1050"/>
      <c r="D203" s="1013"/>
      <c r="E203" s="1013"/>
      <c r="F203" s="1013"/>
      <c r="G203" s="1089" t="s">
        <v>24</v>
      </c>
      <c r="H203" s="1069"/>
      <c r="I203" s="1069"/>
      <c r="J203" s="1069"/>
      <c r="K203" s="1090"/>
      <c r="L203" s="102"/>
      <c r="M203" s="260"/>
      <c r="N203" s="260"/>
      <c r="O203" s="259">
        <f>SUM(O195:O202)</f>
        <v>120000000</v>
      </c>
      <c r="P203" s="82" t="e">
        <f>SUM(#REF!)</f>
        <v>#REF!</v>
      </c>
      <c r="Q203" s="82" t="e">
        <f>+O203+P203</f>
        <v>#REF!</v>
      </c>
      <c r="R203" s="82">
        <f>SUM(R195:R200)</f>
        <v>0</v>
      </c>
      <c r="S203" s="82">
        <f>SUM(S195:S200)</f>
        <v>0</v>
      </c>
      <c r="T203" s="82"/>
      <c r="U203" s="82">
        <f>SUM(U195:U200)</f>
        <v>0</v>
      </c>
      <c r="V203" s="82">
        <f>SUM(V195:V200)</f>
        <v>0</v>
      </c>
      <c r="W203" s="82">
        <f>+O203+R203</f>
        <v>120000000</v>
      </c>
      <c r="X203" s="82">
        <f>SUM(X195:X202)</f>
        <v>120000000</v>
      </c>
      <c r="Y203" s="82">
        <f>SUM(Y195:Y202)</f>
        <v>0</v>
      </c>
      <c r="Z203" s="88">
        <f t="shared" si="31"/>
        <v>120000000</v>
      </c>
      <c r="AA203" s="78"/>
      <c r="AB203" s="78"/>
      <c r="AC203" s="226"/>
      <c r="AD203" s="79">
        <f>+Z203/W203</f>
        <v>1</v>
      </c>
      <c r="AE203" s="78"/>
      <c r="AF203" s="78">
        <f>SUM(AF195:AF202)</f>
        <v>0</v>
      </c>
      <c r="AG203" s="226">
        <f>SUM(AG195:AG202)</f>
        <v>0</v>
      </c>
    </row>
    <row r="204" spans="2:36" ht="20.25" customHeight="1" x14ac:dyDescent="0.25">
      <c r="B204" s="1050"/>
      <c r="C204" s="1119"/>
      <c r="D204" s="1014"/>
      <c r="E204" s="1014"/>
      <c r="F204" s="1014"/>
      <c r="G204" s="1015" t="s">
        <v>141</v>
      </c>
      <c r="H204" s="1016"/>
      <c r="I204" s="1016"/>
      <c r="J204" s="1016"/>
      <c r="K204" s="1016"/>
      <c r="L204" s="1016"/>
      <c r="M204" s="1016"/>
      <c r="N204" s="1017"/>
      <c r="O204" s="258">
        <f t="shared" ref="O204:Y204" si="41">+O203</f>
        <v>120000000</v>
      </c>
      <c r="P204" s="258" t="e">
        <f t="shared" si="41"/>
        <v>#REF!</v>
      </c>
      <c r="Q204" s="258" t="e">
        <f t="shared" si="41"/>
        <v>#REF!</v>
      </c>
      <c r="R204" s="258">
        <f t="shared" si="41"/>
        <v>0</v>
      </c>
      <c r="S204" s="258">
        <f t="shared" si="41"/>
        <v>0</v>
      </c>
      <c r="T204" s="258">
        <f t="shared" si="41"/>
        <v>0</v>
      </c>
      <c r="U204" s="258">
        <f t="shared" si="41"/>
        <v>0</v>
      </c>
      <c r="V204" s="258">
        <f t="shared" si="41"/>
        <v>0</v>
      </c>
      <c r="W204" s="258">
        <f t="shared" si="41"/>
        <v>120000000</v>
      </c>
      <c r="X204" s="190">
        <f t="shared" si="41"/>
        <v>120000000</v>
      </c>
      <c r="Y204" s="257">
        <f t="shared" si="41"/>
        <v>0</v>
      </c>
      <c r="Z204" s="88">
        <f t="shared" si="31"/>
        <v>120000000</v>
      </c>
      <c r="AA204" s="71"/>
      <c r="AB204" s="71"/>
      <c r="AC204" s="256"/>
      <c r="AD204" s="70">
        <f>+Z204/W204</f>
        <v>1</v>
      </c>
      <c r="AE204" s="71"/>
      <c r="AF204" s="71">
        <f>+AF203</f>
        <v>0</v>
      </c>
      <c r="AG204" s="256">
        <f>+AG203</f>
        <v>0</v>
      </c>
    </row>
    <row r="205" spans="2:36" ht="22.5" customHeight="1" thickBot="1" x14ac:dyDescent="0.3">
      <c r="B205" s="187"/>
      <c r="C205" s="1009" t="s">
        <v>140</v>
      </c>
      <c r="D205" s="1010"/>
      <c r="E205" s="1010"/>
      <c r="F205" s="1010"/>
      <c r="G205" s="1010"/>
      <c r="H205" s="1010"/>
      <c r="I205" s="1010"/>
      <c r="J205" s="1010"/>
      <c r="K205" s="1011"/>
      <c r="L205" s="255"/>
      <c r="M205" s="254"/>
      <c r="N205" s="254"/>
      <c r="O205" s="253">
        <f t="shared" ref="O205:Y205" si="42">+O182+O194+O204</f>
        <v>1141685000</v>
      </c>
      <c r="P205" s="253" t="e">
        <f t="shared" si="42"/>
        <v>#REF!</v>
      </c>
      <c r="Q205" s="253" t="e">
        <f t="shared" si="42"/>
        <v>#REF!</v>
      </c>
      <c r="R205" s="253">
        <f t="shared" si="42"/>
        <v>1918667</v>
      </c>
      <c r="S205" s="253" t="e">
        <f t="shared" si="42"/>
        <v>#REF!</v>
      </c>
      <c r="T205" s="253">
        <f t="shared" si="42"/>
        <v>0</v>
      </c>
      <c r="U205" s="253" t="e">
        <f t="shared" si="42"/>
        <v>#REF!</v>
      </c>
      <c r="V205" s="253" t="e">
        <f t="shared" si="42"/>
        <v>#REF!</v>
      </c>
      <c r="W205" s="253">
        <f t="shared" si="42"/>
        <v>1143603667</v>
      </c>
      <c r="X205" s="253">
        <f t="shared" si="42"/>
        <v>1141685000</v>
      </c>
      <c r="Y205" s="253">
        <f t="shared" si="42"/>
        <v>1918667</v>
      </c>
      <c r="Z205" s="88">
        <f t="shared" si="31"/>
        <v>1143603667</v>
      </c>
      <c r="AA205" s="60"/>
      <c r="AB205" s="60"/>
      <c r="AC205" s="252"/>
      <c r="AD205" s="59">
        <f>+Z205/W205</f>
        <v>1</v>
      </c>
      <c r="AE205" s="60"/>
      <c r="AF205" s="251">
        <f>+AF182+AF194+AF204</f>
        <v>0</v>
      </c>
      <c r="AG205" s="250">
        <f>+AG182+AG194+AG204</f>
        <v>0</v>
      </c>
    </row>
    <row r="206" spans="2:36" s="138" customFormat="1" ht="45" customHeight="1" x14ac:dyDescent="0.25">
      <c r="B206" s="1049" t="str">
        <f>+B195</f>
        <v>PROYECTO NO. 702 Investigación e innovación para la construcción de conocimiento educativo y pedagógico.</v>
      </c>
      <c r="C206" s="1113" t="s">
        <v>139</v>
      </c>
      <c r="D206" s="1012" t="s">
        <v>138</v>
      </c>
      <c r="E206" s="1112" t="s">
        <v>137</v>
      </c>
      <c r="F206" s="1031" t="s">
        <v>136</v>
      </c>
      <c r="G206" s="1029" t="s">
        <v>135</v>
      </c>
      <c r="H206" s="1029" t="s">
        <v>134</v>
      </c>
      <c r="I206" s="95" t="s">
        <v>29</v>
      </c>
      <c r="J206" s="95">
        <v>222</v>
      </c>
      <c r="K206" s="246" t="s">
        <v>133</v>
      </c>
      <c r="L206" s="223" t="s">
        <v>122</v>
      </c>
      <c r="M206" s="95">
        <v>11</v>
      </c>
      <c r="N206" s="95" t="s">
        <v>56</v>
      </c>
      <c r="O206" s="249">
        <f>35000000+10000000+3100000</f>
        <v>48100000</v>
      </c>
      <c r="P206" s="131"/>
      <c r="Q206" s="93">
        <f>+O206+P206</f>
        <v>48100000</v>
      </c>
      <c r="R206" s="182"/>
      <c r="S206" s="182"/>
      <c r="T206" s="182"/>
      <c r="U206" s="131"/>
      <c r="V206" s="92"/>
      <c r="W206" s="91">
        <f>+Q206+V206</f>
        <v>48100000</v>
      </c>
      <c r="X206" s="232">
        <v>48100000</v>
      </c>
      <c r="Y206" s="105"/>
      <c r="Z206" s="88">
        <f t="shared" si="31"/>
        <v>48100000</v>
      </c>
      <c r="AA206" s="106">
        <v>41523</v>
      </c>
      <c r="AB206" s="105">
        <v>99</v>
      </c>
      <c r="AC206" s="146" t="s">
        <v>132</v>
      </c>
      <c r="AD206" s="147"/>
      <c r="AE206" s="104"/>
      <c r="AF206" s="105"/>
      <c r="AG206" s="146"/>
      <c r="AH206" s="3">
        <f>+AI206/Z206</f>
        <v>0.81288981288981288</v>
      </c>
      <c r="AI206" s="139">
        <v>39100000</v>
      </c>
    </row>
    <row r="207" spans="2:36" s="138" customFormat="1" ht="30.75" customHeight="1" x14ac:dyDescent="0.25">
      <c r="B207" s="1050"/>
      <c r="C207" s="1114"/>
      <c r="D207" s="1013"/>
      <c r="E207" s="1112"/>
      <c r="F207" s="1031"/>
      <c r="G207" s="1030"/>
      <c r="H207" s="1030"/>
      <c r="I207" s="95"/>
      <c r="J207" s="95">
        <v>223</v>
      </c>
      <c r="K207" s="248" t="s">
        <v>131</v>
      </c>
      <c r="L207" s="121" t="s">
        <v>36</v>
      </c>
      <c r="M207" s="121">
        <v>6</v>
      </c>
      <c r="N207" s="121" t="s">
        <v>56</v>
      </c>
      <c r="O207" s="198">
        <v>32268000</v>
      </c>
      <c r="P207" s="116"/>
      <c r="Q207" s="115">
        <f>+O207+P207</f>
        <v>32268000</v>
      </c>
      <c r="R207" s="115"/>
      <c r="S207" s="115"/>
      <c r="T207" s="115"/>
      <c r="U207" s="116"/>
      <c r="V207" s="114"/>
      <c r="W207" s="109">
        <f>+Q207+V207</f>
        <v>32268000</v>
      </c>
      <c r="X207" s="232"/>
      <c r="Y207" s="105"/>
      <c r="Z207" s="88">
        <f t="shared" si="31"/>
        <v>0</v>
      </c>
      <c r="AA207" s="105"/>
      <c r="AB207" s="105"/>
      <c r="AC207" s="146"/>
      <c r="AD207" s="147"/>
      <c r="AE207" s="104"/>
      <c r="AF207" s="105"/>
      <c r="AG207" s="146"/>
      <c r="AH207" s="3"/>
      <c r="AI207" s="139"/>
    </row>
    <row r="208" spans="2:36" s="138" customFormat="1" ht="36" customHeight="1" x14ac:dyDescent="0.25">
      <c r="B208" s="1050"/>
      <c r="C208" s="1114"/>
      <c r="D208" s="1013"/>
      <c r="E208" s="1112"/>
      <c r="F208" s="1031"/>
      <c r="G208" s="1030"/>
      <c r="H208" s="1030"/>
      <c r="I208" s="95"/>
      <c r="J208" s="95"/>
      <c r="K208" s="246" t="s">
        <v>130</v>
      </c>
      <c r="L208" s="223" t="s">
        <v>36</v>
      </c>
      <c r="M208" s="95">
        <v>3</v>
      </c>
      <c r="N208" s="95" t="s">
        <v>56</v>
      </c>
      <c r="O208" s="211">
        <f>5895000-5895000</f>
        <v>0</v>
      </c>
      <c r="P208" s="131"/>
      <c r="Q208" s="93">
        <f>+O208+P208</f>
        <v>0</v>
      </c>
      <c r="R208" s="182"/>
      <c r="S208" s="182"/>
      <c r="T208" s="182"/>
      <c r="U208" s="131"/>
      <c r="V208" s="92"/>
      <c r="W208" s="91">
        <f>+Q208+V208</f>
        <v>0</v>
      </c>
      <c r="X208" s="232"/>
      <c r="Y208" s="105"/>
      <c r="Z208" s="88">
        <f t="shared" si="31"/>
        <v>0</v>
      </c>
      <c r="AA208" s="105"/>
      <c r="AB208" s="105"/>
      <c r="AC208" s="146"/>
      <c r="AD208" s="147"/>
      <c r="AE208" s="104"/>
      <c r="AF208" s="105"/>
      <c r="AG208" s="146"/>
      <c r="AH208" s="3"/>
      <c r="AI208" s="139"/>
    </row>
    <row r="209" spans="2:35" s="138" customFormat="1" ht="51" x14ac:dyDescent="0.25">
      <c r="B209" s="1050"/>
      <c r="C209" s="1114"/>
      <c r="D209" s="1013"/>
      <c r="E209" s="1112"/>
      <c r="F209" s="1031"/>
      <c r="G209" s="1030"/>
      <c r="H209" s="1030"/>
      <c r="I209" s="95" t="s">
        <v>29</v>
      </c>
      <c r="J209" s="95">
        <v>225</v>
      </c>
      <c r="K209" s="246" t="s">
        <v>128</v>
      </c>
      <c r="L209" s="223" t="s">
        <v>36</v>
      </c>
      <c r="M209" s="95">
        <v>10</v>
      </c>
      <c r="N209" s="95" t="s">
        <v>118</v>
      </c>
      <c r="O209" s="211">
        <v>7950000</v>
      </c>
      <c r="P209" s="131"/>
      <c r="Q209" s="93">
        <f>+O209+P209</f>
        <v>7950000</v>
      </c>
      <c r="R209" s="182"/>
      <c r="S209" s="182"/>
      <c r="T209" s="182"/>
      <c r="U209" s="131"/>
      <c r="V209" s="92"/>
      <c r="W209" s="91">
        <f>+Q209+V209</f>
        <v>7950000</v>
      </c>
      <c r="X209" s="232">
        <v>7950000</v>
      </c>
      <c r="Y209" s="105"/>
      <c r="Z209" s="88">
        <f t="shared" si="31"/>
        <v>7950000</v>
      </c>
      <c r="AA209" s="106">
        <v>41506</v>
      </c>
      <c r="AB209" s="105">
        <v>84</v>
      </c>
      <c r="AC209" s="247" t="s">
        <v>129</v>
      </c>
      <c r="AD209" s="147"/>
      <c r="AE209" s="105"/>
      <c r="AF209" s="105"/>
      <c r="AG209" s="146"/>
      <c r="AH209" s="3">
        <f>+AI209/Z209</f>
        <v>0.5</v>
      </c>
      <c r="AI209" s="139">
        <v>3975000</v>
      </c>
    </row>
    <row r="210" spans="2:35" s="138" customFormat="1" ht="33.75" customHeight="1" x14ac:dyDescent="0.25">
      <c r="B210" s="1050"/>
      <c r="C210" s="1114"/>
      <c r="D210" s="1013"/>
      <c r="E210" s="1112"/>
      <c r="F210" s="1031"/>
      <c r="G210" s="1030"/>
      <c r="H210" s="1030"/>
      <c r="I210" s="95"/>
      <c r="J210" s="95"/>
      <c r="K210" s="216" t="s">
        <v>128</v>
      </c>
      <c r="L210" s="223"/>
      <c r="M210" s="95"/>
      <c r="N210" s="95"/>
      <c r="O210" s="245">
        <f>15000000-7950000-7050000</f>
        <v>0</v>
      </c>
      <c r="P210" s="131"/>
      <c r="Q210" s="93"/>
      <c r="R210" s="182"/>
      <c r="S210" s="182"/>
      <c r="T210" s="182"/>
      <c r="U210" s="131"/>
      <c r="V210" s="92"/>
      <c r="W210" s="91">
        <f>+O210+R210</f>
        <v>0</v>
      </c>
      <c r="X210" s="232"/>
      <c r="Y210" s="105"/>
      <c r="Z210" s="88">
        <f t="shared" si="31"/>
        <v>0</v>
      </c>
      <c r="AA210" s="106"/>
      <c r="AB210" s="105"/>
      <c r="AC210" s="247"/>
      <c r="AD210" s="147"/>
      <c r="AE210" s="105"/>
      <c r="AF210" s="105"/>
      <c r="AG210" s="146"/>
      <c r="AH210" s="3"/>
      <c r="AI210" s="139"/>
    </row>
    <row r="211" spans="2:35" s="138" customFormat="1" ht="38.25" x14ac:dyDescent="0.25">
      <c r="B211" s="1050"/>
      <c r="C211" s="1114"/>
      <c r="D211" s="1013"/>
      <c r="E211" s="1112"/>
      <c r="F211" s="1031"/>
      <c r="G211" s="1030"/>
      <c r="H211" s="1030"/>
      <c r="I211" s="95"/>
      <c r="J211" s="95"/>
      <c r="K211" s="246" t="s">
        <v>128</v>
      </c>
      <c r="L211" s="223" t="s">
        <v>60</v>
      </c>
      <c r="M211" s="95">
        <v>3</v>
      </c>
      <c r="N211" s="95" t="s">
        <v>116</v>
      </c>
      <c r="O211" s="245">
        <f>2795000-2795000</f>
        <v>0</v>
      </c>
      <c r="P211" s="131"/>
      <c r="Q211" s="93"/>
      <c r="R211" s="182"/>
      <c r="S211" s="182"/>
      <c r="T211" s="182"/>
      <c r="U211" s="131"/>
      <c r="V211" s="92"/>
      <c r="W211" s="91">
        <f>+O211+R211</f>
        <v>0</v>
      </c>
      <c r="X211" s="232"/>
      <c r="Y211" s="105"/>
      <c r="Z211" s="88">
        <f t="shared" si="31"/>
        <v>0</v>
      </c>
      <c r="AA211" s="105"/>
      <c r="AB211" s="105"/>
      <c r="AC211" s="146"/>
      <c r="AD211" s="147"/>
      <c r="AE211" s="105"/>
      <c r="AF211" s="105"/>
      <c r="AG211" s="146"/>
      <c r="AH211" s="3"/>
      <c r="AI211" s="139"/>
    </row>
    <row r="212" spans="2:35" s="138" customFormat="1" ht="24" customHeight="1" thickBot="1" x14ac:dyDescent="0.3">
      <c r="B212" s="1050"/>
      <c r="C212" s="1114"/>
      <c r="D212" s="1013"/>
      <c r="E212" s="1112"/>
      <c r="F212" s="1031"/>
      <c r="G212" s="1030"/>
      <c r="H212" s="1030"/>
      <c r="I212" s="95" t="s">
        <v>29</v>
      </c>
      <c r="J212" s="95">
        <v>226</v>
      </c>
      <c r="K212" s="244" t="s">
        <v>127</v>
      </c>
      <c r="L212" s="243" t="s">
        <v>60</v>
      </c>
      <c r="M212" s="242">
        <v>1</v>
      </c>
      <c r="N212" s="242" t="s">
        <v>47</v>
      </c>
      <c r="O212" s="241">
        <v>19944422</v>
      </c>
      <c r="P212" s="131"/>
      <c r="Q212" s="93">
        <f>+O212+P212</f>
        <v>19944422</v>
      </c>
      <c r="R212" s="182"/>
      <c r="S212" s="182"/>
      <c r="T212" s="182"/>
      <c r="U212" s="131"/>
      <c r="V212" s="92"/>
      <c r="W212" s="91">
        <f>+Q212+V212</f>
        <v>19944422</v>
      </c>
      <c r="X212" s="232">
        <v>19944422</v>
      </c>
      <c r="Y212" s="105"/>
      <c r="Z212" s="88">
        <f t="shared" si="31"/>
        <v>19944422</v>
      </c>
      <c r="AA212" s="106">
        <v>41556</v>
      </c>
      <c r="AB212" s="105">
        <v>117</v>
      </c>
      <c r="AC212" s="146" t="s">
        <v>126</v>
      </c>
      <c r="AD212" s="147"/>
      <c r="AE212" s="230"/>
      <c r="AF212" s="105"/>
      <c r="AG212" s="146"/>
      <c r="AH212" s="3">
        <f>+AI212/Z212</f>
        <v>0</v>
      </c>
      <c r="AI212" s="240"/>
    </row>
    <row r="213" spans="2:35" s="138" customFormat="1" ht="33" customHeight="1" x14ac:dyDescent="0.25">
      <c r="B213" s="1050"/>
      <c r="C213" s="1114"/>
      <c r="D213" s="1013"/>
      <c r="E213" s="1112"/>
      <c r="F213" s="1031"/>
      <c r="G213" s="1030"/>
      <c r="H213" s="1030"/>
      <c r="I213" s="95"/>
      <c r="J213" s="154"/>
      <c r="K213" s="239" t="s">
        <v>125</v>
      </c>
      <c r="L213" s="238"/>
      <c r="M213" s="237"/>
      <c r="N213" s="237"/>
      <c r="O213" s="236">
        <f>21456500-19944422</f>
        <v>1512078</v>
      </c>
      <c r="P213" s="235"/>
      <c r="Q213" s="235"/>
      <c r="R213" s="235"/>
      <c r="S213" s="235"/>
      <c r="T213" s="235"/>
      <c r="U213" s="235"/>
      <c r="V213" s="234"/>
      <c r="W213" s="233">
        <f>+O213+R213</f>
        <v>1512078</v>
      </c>
      <c r="X213" s="232"/>
      <c r="Y213" s="231"/>
      <c r="Z213" s="88">
        <f t="shared" si="31"/>
        <v>0</v>
      </c>
      <c r="AA213" s="105"/>
      <c r="AB213" s="105"/>
      <c r="AC213" s="146"/>
      <c r="AD213" s="147"/>
      <c r="AE213" s="230"/>
      <c r="AF213" s="105"/>
      <c r="AG213" s="146"/>
      <c r="AH213" s="3"/>
      <c r="AI213" s="139"/>
    </row>
    <row r="214" spans="2:35" s="138" customFormat="1" ht="12" customHeight="1" thickBot="1" x14ac:dyDescent="0.3">
      <c r="B214" s="1050"/>
      <c r="C214" s="1114"/>
      <c r="D214" s="1013"/>
      <c r="E214" s="1112"/>
      <c r="F214" s="1031"/>
      <c r="G214" s="1040"/>
      <c r="H214" s="1030"/>
      <c r="I214" s="95"/>
      <c r="J214" s="154"/>
      <c r="K214" s="229" t="s">
        <v>24</v>
      </c>
      <c r="L214" s="219"/>
      <c r="M214" s="101"/>
      <c r="N214" s="101"/>
      <c r="O214" s="228">
        <f t="shared" ref="O214:W214" si="43">SUM(O206:O213)</f>
        <v>109774500</v>
      </c>
      <c r="P214" s="228">
        <f t="shared" si="43"/>
        <v>0</v>
      </c>
      <c r="Q214" s="228">
        <f t="shared" si="43"/>
        <v>108262422</v>
      </c>
      <c r="R214" s="228">
        <f t="shared" si="43"/>
        <v>0</v>
      </c>
      <c r="S214" s="228">
        <f t="shared" si="43"/>
        <v>0</v>
      </c>
      <c r="T214" s="228">
        <f t="shared" si="43"/>
        <v>0</v>
      </c>
      <c r="U214" s="228">
        <f t="shared" si="43"/>
        <v>0</v>
      </c>
      <c r="V214" s="228">
        <f t="shared" si="43"/>
        <v>0</v>
      </c>
      <c r="W214" s="228">
        <f t="shared" si="43"/>
        <v>109774500</v>
      </c>
      <c r="X214" s="227">
        <f>SUM(X206:X212)</f>
        <v>75994422</v>
      </c>
      <c r="Y214" s="227">
        <f>SUM(Y206:Y212)</f>
        <v>0</v>
      </c>
      <c r="Z214" s="88">
        <f t="shared" ref="Z214:Z262" si="44">+X214+Y214</f>
        <v>75994422</v>
      </c>
      <c r="AA214" s="78"/>
      <c r="AB214" s="78"/>
      <c r="AC214" s="226"/>
      <c r="AD214" s="79">
        <f>+Z214/W214</f>
        <v>0.69227755079731634</v>
      </c>
      <c r="AE214" s="78"/>
      <c r="AF214" s="218">
        <f>SUM(AF206:AF212)</f>
        <v>0</v>
      </c>
      <c r="AG214" s="217">
        <f>SUM(AG206:AG212)</f>
        <v>0</v>
      </c>
      <c r="AH214" s="3"/>
      <c r="AI214" s="139"/>
    </row>
    <row r="215" spans="2:35" s="138" customFormat="1" ht="33.75" customHeight="1" x14ac:dyDescent="0.25">
      <c r="B215" s="1050"/>
      <c r="C215" s="1114"/>
      <c r="D215" s="1013"/>
      <c r="E215" s="1110" t="str">
        <f>+E206</f>
        <v>Realizar una estrategia de Comunicación, Socialización y divulgación de los resultados de las investigaciones y sistematizaciones realizadas por el IDEP</v>
      </c>
      <c r="F215" s="1013" t="str">
        <f>+F206</f>
        <v>Porcentaje de avance 
de la estrategia de comunicación</v>
      </c>
      <c r="G215" s="1029" t="s">
        <v>124</v>
      </c>
      <c r="H215" s="1030"/>
      <c r="I215" s="95" t="s">
        <v>29</v>
      </c>
      <c r="J215" s="95">
        <v>220</v>
      </c>
      <c r="K215" s="225" t="s">
        <v>123</v>
      </c>
      <c r="L215" s="224" t="s">
        <v>122</v>
      </c>
      <c r="M215" s="95">
        <v>10</v>
      </c>
      <c r="N215" s="95" t="s">
        <v>121</v>
      </c>
      <c r="O215" s="94">
        <v>51000000</v>
      </c>
      <c r="P215" s="131"/>
      <c r="Q215" s="93">
        <f>+O215+P215</f>
        <v>51000000</v>
      </c>
      <c r="R215" s="182"/>
      <c r="S215" s="182"/>
      <c r="T215" s="182"/>
      <c r="U215" s="182"/>
      <c r="V215" s="92"/>
      <c r="W215" s="91">
        <f>+Q215+V215</f>
        <v>51000000</v>
      </c>
      <c r="X215" s="150">
        <v>51000000</v>
      </c>
      <c r="Y215" s="148"/>
      <c r="Z215" s="88">
        <f t="shared" si="44"/>
        <v>51000000</v>
      </c>
      <c r="AA215" s="106">
        <v>41348</v>
      </c>
      <c r="AB215" s="105">
        <v>25</v>
      </c>
      <c r="AC215" s="104" t="s">
        <v>120</v>
      </c>
      <c r="AD215" s="220"/>
      <c r="AE215" s="105"/>
      <c r="AF215" s="105"/>
      <c r="AG215" s="146"/>
      <c r="AH215" s="3">
        <f>+AI215/Z215</f>
        <v>0.11372549019607843</v>
      </c>
      <c r="AI215" s="139">
        <v>5800000</v>
      </c>
    </row>
    <row r="216" spans="2:35" s="138" customFormat="1" ht="51" x14ac:dyDescent="0.25">
      <c r="B216" s="1050"/>
      <c r="C216" s="1114"/>
      <c r="D216" s="1013"/>
      <c r="E216" s="1110"/>
      <c r="F216" s="1013"/>
      <c r="G216" s="1030"/>
      <c r="H216" s="1030"/>
      <c r="I216" s="95"/>
      <c r="J216" s="95">
        <v>221</v>
      </c>
      <c r="K216" s="167" t="s">
        <v>119</v>
      </c>
      <c r="L216" s="223" t="s">
        <v>48</v>
      </c>
      <c r="M216" s="95">
        <v>10</v>
      </c>
      <c r="N216" s="95" t="s">
        <v>118</v>
      </c>
      <c r="O216" s="94">
        <f>80000000-39850000+283114-37138500-3294614</f>
        <v>0</v>
      </c>
      <c r="P216" s="131"/>
      <c r="Q216" s="93">
        <f>+O216+P216</f>
        <v>0</v>
      </c>
      <c r="R216" s="182"/>
      <c r="S216" s="182"/>
      <c r="T216" s="182"/>
      <c r="U216" s="182"/>
      <c r="V216" s="92"/>
      <c r="W216" s="91">
        <f>+Q216+V216</f>
        <v>0</v>
      </c>
      <c r="X216" s="150"/>
      <c r="Y216" s="148"/>
      <c r="Z216" s="88">
        <f t="shared" si="44"/>
        <v>0</v>
      </c>
      <c r="AA216" s="105"/>
      <c r="AB216" s="105"/>
      <c r="AC216" s="105"/>
      <c r="AD216" s="220"/>
      <c r="AE216" s="105"/>
      <c r="AF216" s="105"/>
      <c r="AG216" s="146"/>
      <c r="AH216" s="3"/>
      <c r="AI216" s="139"/>
    </row>
    <row r="217" spans="2:35" s="138" customFormat="1" ht="46.5" customHeight="1" x14ac:dyDescent="0.25">
      <c r="B217" s="1050"/>
      <c r="C217" s="1114"/>
      <c r="D217" s="1013"/>
      <c r="E217" s="1110"/>
      <c r="F217" s="1013"/>
      <c r="G217" s="1030"/>
      <c r="H217" s="1030"/>
      <c r="I217" s="95" t="s">
        <v>29</v>
      </c>
      <c r="J217" s="95"/>
      <c r="K217" s="215" t="s">
        <v>117</v>
      </c>
      <c r="L217" s="223" t="s">
        <v>60</v>
      </c>
      <c r="M217" s="95">
        <v>9</v>
      </c>
      <c r="N217" s="95" t="s">
        <v>116</v>
      </c>
      <c r="O217" s="94">
        <v>37138500</v>
      </c>
      <c r="P217" s="131"/>
      <c r="Q217" s="93"/>
      <c r="R217" s="182"/>
      <c r="S217" s="182"/>
      <c r="T217" s="182"/>
      <c r="U217" s="182"/>
      <c r="V217" s="92"/>
      <c r="W217" s="91">
        <f>+O217+R217</f>
        <v>37138500</v>
      </c>
      <c r="X217" s="150">
        <v>37138500</v>
      </c>
      <c r="Y217" s="150"/>
      <c r="Z217" s="88">
        <f t="shared" si="44"/>
        <v>37138500</v>
      </c>
      <c r="AA217" s="106">
        <v>41534</v>
      </c>
      <c r="AB217" s="105">
        <v>107</v>
      </c>
      <c r="AC217" s="105" t="s">
        <v>115</v>
      </c>
      <c r="AD217" s="220"/>
      <c r="AE217" s="105"/>
      <c r="AF217" s="105"/>
      <c r="AG217" s="146"/>
      <c r="AH217" s="3">
        <f>+AI217/Z217</f>
        <v>0.77777777777777779</v>
      </c>
      <c r="AI217" s="139">
        <v>28885500</v>
      </c>
    </row>
    <row r="218" spans="2:35" s="138" customFormat="1" ht="57" customHeight="1" x14ac:dyDescent="0.25">
      <c r="B218" s="1050"/>
      <c r="C218" s="1114"/>
      <c r="D218" s="1013"/>
      <c r="E218" s="1110"/>
      <c r="F218" s="1013"/>
      <c r="G218" s="1030"/>
      <c r="H218" s="1030"/>
      <c r="I218" s="95"/>
      <c r="J218" s="95">
        <v>332</v>
      </c>
      <c r="K218" s="222" t="s">
        <v>114</v>
      </c>
      <c r="L218" s="121"/>
      <c r="M218" s="121"/>
      <c r="N218" s="121"/>
      <c r="O218" s="116">
        <v>39850000</v>
      </c>
      <c r="P218" s="116"/>
      <c r="Q218" s="115"/>
      <c r="R218" s="115"/>
      <c r="S218" s="115"/>
      <c r="T218" s="115"/>
      <c r="U218" s="115"/>
      <c r="V218" s="114"/>
      <c r="W218" s="109">
        <f>+O218+R218</f>
        <v>39850000</v>
      </c>
      <c r="X218" s="221">
        <v>39850000</v>
      </c>
      <c r="Y218" s="150"/>
      <c r="Z218" s="88">
        <f t="shared" si="44"/>
        <v>39850000</v>
      </c>
      <c r="AA218" s="106">
        <v>41593</v>
      </c>
      <c r="AB218" s="105">
        <v>125</v>
      </c>
      <c r="AC218" s="105" t="s">
        <v>113</v>
      </c>
      <c r="AD218" s="220"/>
      <c r="AE218" s="105"/>
      <c r="AF218" s="105"/>
      <c r="AG218" s="146"/>
      <c r="AH218" s="3">
        <f>+AI218/Z218</f>
        <v>0</v>
      </c>
      <c r="AI218" s="139">
        <v>0</v>
      </c>
    </row>
    <row r="219" spans="2:35" s="138" customFormat="1" ht="18.75" customHeight="1" x14ac:dyDescent="0.25">
      <c r="B219" s="1050"/>
      <c r="C219" s="1114"/>
      <c r="D219" s="1013"/>
      <c r="E219" s="1110"/>
      <c r="F219" s="1013"/>
      <c r="G219" s="1040"/>
      <c r="H219" s="1030"/>
      <c r="I219" s="154"/>
      <c r="J219" s="154"/>
      <c r="K219" s="196" t="s">
        <v>24</v>
      </c>
      <c r="L219" s="219"/>
      <c r="M219" s="101"/>
      <c r="N219" s="101"/>
      <c r="O219" s="128">
        <f t="shared" ref="O219:Y219" si="45">SUM(O215:O218)</f>
        <v>127988500</v>
      </c>
      <c r="P219" s="128">
        <f t="shared" si="45"/>
        <v>0</v>
      </c>
      <c r="Q219" s="128">
        <f t="shared" si="45"/>
        <v>51000000</v>
      </c>
      <c r="R219" s="128">
        <f t="shared" si="45"/>
        <v>0</v>
      </c>
      <c r="S219" s="128">
        <f t="shared" si="45"/>
        <v>0</v>
      </c>
      <c r="T219" s="128">
        <f t="shared" si="45"/>
        <v>0</v>
      </c>
      <c r="U219" s="128">
        <f t="shared" si="45"/>
        <v>0</v>
      </c>
      <c r="V219" s="128">
        <f t="shared" si="45"/>
        <v>0</v>
      </c>
      <c r="W219" s="128">
        <f t="shared" si="45"/>
        <v>127988500</v>
      </c>
      <c r="X219" s="81">
        <f t="shared" si="45"/>
        <v>127988500</v>
      </c>
      <c r="Y219" s="81">
        <f t="shared" si="45"/>
        <v>0</v>
      </c>
      <c r="Z219" s="88">
        <f t="shared" si="44"/>
        <v>127988500</v>
      </c>
      <c r="AA219" s="78"/>
      <c r="AB219" s="78"/>
      <c r="AC219" s="78"/>
      <c r="AD219" s="79">
        <f>+Z219/W219</f>
        <v>1</v>
      </c>
      <c r="AE219" s="78"/>
      <c r="AF219" s="218">
        <f>SUM(AF215:AF218)</f>
        <v>0</v>
      </c>
      <c r="AG219" s="217">
        <f>SUM(AG215:AG218)</f>
        <v>0</v>
      </c>
      <c r="AH219" s="3"/>
      <c r="AI219" s="139"/>
    </row>
    <row r="220" spans="2:35" s="138" customFormat="1" ht="39.75" customHeight="1" x14ac:dyDescent="0.2">
      <c r="B220" s="1050"/>
      <c r="C220" s="1114"/>
      <c r="D220" s="1013"/>
      <c r="E220" s="1110"/>
      <c r="F220" s="1013"/>
      <c r="G220" s="1029" t="s">
        <v>112</v>
      </c>
      <c r="H220" s="1030"/>
      <c r="I220" s="95" t="s">
        <v>29</v>
      </c>
      <c r="J220" s="95">
        <v>216</v>
      </c>
      <c r="K220" s="216" t="s">
        <v>111</v>
      </c>
      <c r="L220" s="213" t="s">
        <v>110</v>
      </c>
      <c r="M220" s="213">
        <v>11</v>
      </c>
      <c r="N220" s="212" t="s">
        <v>56</v>
      </c>
      <c r="O220" s="211">
        <f>58360000+500</f>
        <v>58360500</v>
      </c>
      <c r="P220" s="131"/>
      <c r="Q220" s="93">
        <f>+O220+P220</f>
        <v>58360500</v>
      </c>
      <c r="R220" s="182"/>
      <c r="S220" s="182"/>
      <c r="T220" s="182"/>
      <c r="U220" s="182"/>
      <c r="V220" s="92"/>
      <c r="W220" s="91">
        <f>+Q220+V220</f>
        <v>58360500</v>
      </c>
      <c r="X220" s="150">
        <v>58360500</v>
      </c>
      <c r="Y220" s="148"/>
      <c r="Z220" s="88">
        <f t="shared" si="44"/>
        <v>58360500</v>
      </c>
      <c r="AA220" s="106">
        <v>41341</v>
      </c>
      <c r="AB220" s="105">
        <v>15</v>
      </c>
      <c r="AC220" s="104" t="s">
        <v>109</v>
      </c>
      <c r="AD220" s="147"/>
      <c r="AE220" s="105"/>
      <c r="AF220" s="105"/>
      <c r="AG220" s="146"/>
      <c r="AH220" s="3">
        <f>+AI220/Z220</f>
        <v>0.18181818181818182</v>
      </c>
      <c r="AI220" s="139">
        <v>10611000</v>
      </c>
    </row>
    <row r="221" spans="2:35" s="138" customFormat="1" ht="33" customHeight="1" x14ac:dyDescent="0.2">
      <c r="B221" s="1050"/>
      <c r="C221" s="1114"/>
      <c r="D221" s="1013"/>
      <c r="E221" s="1110"/>
      <c r="F221" s="1013"/>
      <c r="G221" s="1030"/>
      <c r="H221" s="1030"/>
      <c r="I221" s="95" t="s">
        <v>29</v>
      </c>
      <c r="J221" s="95">
        <v>217</v>
      </c>
      <c r="K221" s="215" t="s">
        <v>108</v>
      </c>
      <c r="L221" s="214" t="s">
        <v>105</v>
      </c>
      <c r="M221" s="213">
        <v>11</v>
      </c>
      <c r="N221" s="212" t="s">
        <v>56</v>
      </c>
      <c r="O221" s="211">
        <f>45391500-500-6484000</f>
        <v>38907000</v>
      </c>
      <c r="P221" s="131"/>
      <c r="Q221" s="93">
        <f>+O221+P221</f>
        <v>38907000</v>
      </c>
      <c r="R221" s="182"/>
      <c r="S221" s="182"/>
      <c r="T221" s="182"/>
      <c r="U221" s="182"/>
      <c r="V221" s="92"/>
      <c r="W221" s="91">
        <f>+Q221+V221</f>
        <v>38907000</v>
      </c>
      <c r="X221" s="150">
        <v>38907000</v>
      </c>
      <c r="Y221" s="148"/>
      <c r="Z221" s="88">
        <f t="shared" si="44"/>
        <v>38907000</v>
      </c>
      <c r="AA221" s="106">
        <v>41432</v>
      </c>
      <c r="AB221" s="105">
        <v>57</v>
      </c>
      <c r="AC221" s="104" t="s">
        <v>107</v>
      </c>
      <c r="AD221" s="147"/>
      <c r="AE221" s="105"/>
      <c r="AF221" s="105"/>
      <c r="AG221" s="146"/>
      <c r="AH221" s="3">
        <f>+AI221/Z221</f>
        <v>0.54545454545454541</v>
      </c>
      <c r="AI221" s="139">
        <v>21222000</v>
      </c>
    </row>
    <row r="222" spans="2:35" s="138" customFormat="1" ht="49.5" customHeight="1" x14ac:dyDescent="0.2">
      <c r="B222" s="1050"/>
      <c r="C222" s="1114"/>
      <c r="D222" s="1013"/>
      <c r="E222" s="1110"/>
      <c r="F222" s="1013"/>
      <c r="G222" s="1030"/>
      <c r="H222" s="1030"/>
      <c r="I222" s="95" t="s">
        <v>29</v>
      </c>
      <c r="J222" s="95">
        <v>218</v>
      </c>
      <c r="K222" s="215" t="s">
        <v>106</v>
      </c>
      <c r="L222" s="214" t="s">
        <v>105</v>
      </c>
      <c r="M222" s="213">
        <v>10</v>
      </c>
      <c r="N222" s="212" t="s">
        <v>56</v>
      </c>
      <c r="O222" s="211">
        <f>29475000+5895000</f>
        <v>35370000</v>
      </c>
      <c r="P222" s="131"/>
      <c r="Q222" s="93">
        <f>+O222+P222</f>
        <v>35370000</v>
      </c>
      <c r="R222" s="182"/>
      <c r="S222" s="182"/>
      <c r="T222" s="182"/>
      <c r="U222" s="182"/>
      <c r="V222" s="92"/>
      <c r="W222" s="91">
        <f>+Q222+V222</f>
        <v>35370000</v>
      </c>
      <c r="X222" s="150">
        <v>35370000</v>
      </c>
      <c r="Y222" s="148"/>
      <c r="Z222" s="88">
        <f t="shared" si="44"/>
        <v>35370000</v>
      </c>
      <c r="AA222" s="106">
        <v>41430</v>
      </c>
      <c r="AB222" s="105">
        <v>55</v>
      </c>
      <c r="AC222" s="105" t="s">
        <v>104</v>
      </c>
      <c r="AD222" s="147"/>
      <c r="AE222" s="105"/>
      <c r="AF222" s="105"/>
      <c r="AG222" s="146"/>
      <c r="AH222" s="3">
        <f>+AI222/Z222</f>
        <v>0.4</v>
      </c>
      <c r="AI222" s="139">
        <v>14148000</v>
      </c>
    </row>
    <row r="223" spans="2:35" s="138" customFormat="1" ht="55.5" customHeight="1" x14ac:dyDescent="0.2">
      <c r="B223" s="1050"/>
      <c r="C223" s="1114"/>
      <c r="D223" s="1013"/>
      <c r="E223" s="1110"/>
      <c r="F223" s="1013"/>
      <c r="G223" s="1030"/>
      <c r="H223" s="1030"/>
      <c r="I223" s="95" t="s">
        <v>29</v>
      </c>
      <c r="J223" s="95">
        <v>311</v>
      </c>
      <c r="K223" s="215" t="s">
        <v>103</v>
      </c>
      <c r="L223" s="214" t="s">
        <v>102</v>
      </c>
      <c r="M223" s="213">
        <v>1</v>
      </c>
      <c r="N223" s="212" t="s">
        <v>56</v>
      </c>
      <c r="O223" s="211">
        <v>9999896</v>
      </c>
      <c r="P223" s="131"/>
      <c r="Q223" s="93"/>
      <c r="R223" s="182"/>
      <c r="S223" s="182"/>
      <c r="T223" s="182"/>
      <c r="U223" s="182"/>
      <c r="V223" s="92"/>
      <c r="W223" s="91">
        <f>+O223+R223</f>
        <v>9999896</v>
      </c>
      <c r="X223" s="150">
        <v>9999896</v>
      </c>
      <c r="Y223" s="148"/>
      <c r="Z223" s="88">
        <f t="shared" si="44"/>
        <v>9999896</v>
      </c>
      <c r="AA223" s="106">
        <v>41516</v>
      </c>
      <c r="AB223" s="105">
        <v>90</v>
      </c>
      <c r="AC223" s="105" t="s">
        <v>101</v>
      </c>
      <c r="AD223" s="147"/>
      <c r="AE223" s="105"/>
      <c r="AF223" s="105"/>
      <c r="AG223" s="146"/>
      <c r="AH223" s="3">
        <f>+AI223/Z223</f>
        <v>0</v>
      </c>
      <c r="AI223" s="139">
        <v>0</v>
      </c>
    </row>
    <row r="224" spans="2:35" s="138" customFormat="1" ht="40.5" customHeight="1" x14ac:dyDescent="0.2">
      <c r="B224" s="1050"/>
      <c r="C224" s="1114"/>
      <c r="D224" s="1013"/>
      <c r="E224" s="1110"/>
      <c r="F224" s="1013"/>
      <c r="G224" s="1030"/>
      <c r="H224" s="1030"/>
      <c r="I224" s="154"/>
      <c r="J224" s="95"/>
      <c r="K224" s="210" t="s">
        <v>100</v>
      </c>
      <c r="L224" s="209"/>
      <c r="M224" s="208"/>
      <c r="N224" s="207"/>
      <c r="O224" s="206">
        <f>10000000-9999896</f>
        <v>104</v>
      </c>
      <c r="P224" s="205"/>
      <c r="Q224" s="205"/>
      <c r="R224" s="205"/>
      <c r="S224" s="205"/>
      <c r="T224" s="205"/>
      <c r="U224" s="205"/>
      <c r="V224" s="204"/>
      <c r="W224" s="203">
        <f>+O224+R224</f>
        <v>104</v>
      </c>
      <c r="X224" s="150"/>
      <c r="Y224" s="148"/>
      <c r="Z224" s="88">
        <f t="shared" si="44"/>
        <v>0</v>
      </c>
      <c r="AA224" s="106"/>
      <c r="AB224" s="105"/>
      <c r="AC224" s="105"/>
      <c r="AD224" s="147"/>
      <c r="AE224" s="105"/>
      <c r="AF224" s="105"/>
      <c r="AG224" s="146"/>
      <c r="AH224" s="3"/>
      <c r="AI224" s="139"/>
    </row>
    <row r="225" spans="2:35" ht="63" customHeight="1" x14ac:dyDescent="0.2">
      <c r="B225" s="1050"/>
      <c r="C225" s="1114"/>
      <c r="D225" s="1013"/>
      <c r="E225" s="1110"/>
      <c r="F225" s="1013"/>
      <c r="G225" s="1030"/>
      <c r="H225" s="1030"/>
      <c r="I225" s="95"/>
      <c r="J225" s="95">
        <v>219</v>
      </c>
      <c r="K225" s="202" t="s">
        <v>99</v>
      </c>
      <c r="L225" s="201" t="s">
        <v>98</v>
      </c>
      <c r="M225" s="200">
        <v>9</v>
      </c>
      <c r="N225" s="199" t="s">
        <v>56</v>
      </c>
      <c r="O225" s="198">
        <f>56000000-9411000-11974386</f>
        <v>34614614</v>
      </c>
      <c r="P225" s="116"/>
      <c r="Q225" s="115">
        <f>+O225+P225</f>
        <v>34614614</v>
      </c>
      <c r="R225" s="115"/>
      <c r="S225" s="115"/>
      <c r="T225" s="115"/>
      <c r="U225" s="115"/>
      <c r="V225" s="114">
        <f>+R225+U225</f>
        <v>0</v>
      </c>
      <c r="W225" s="109">
        <f>+Q225+V225</f>
        <v>34614614</v>
      </c>
      <c r="X225" s="137"/>
      <c r="Y225" s="136"/>
      <c r="Z225" s="88">
        <f t="shared" si="44"/>
        <v>0</v>
      </c>
      <c r="AA225" s="50"/>
      <c r="AB225" s="50"/>
      <c r="AC225" s="50"/>
      <c r="AD225" s="103"/>
      <c r="AE225" s="50"/>
      <c r="AF225" s="50"/>
      <c r="AG225" s="49"/>
    </row>
    <row r="226" spans="2:35" ht="23.25" customHeight="1" x14ac:dyDescent="0.2">
      <c r="B226" s="1050"/>
      <c r="C226" s="1114"/>
      <c r="D226" s="1013"/>
      <c r="E226" s="1110"/>
      <c r="F226" s="1013"/>
      <c r="G226" s="1040"/>
      <c r="H226" s="1040"/>
      <c r="I226" s="197"/>
      <c r="J226" s="197"/>
      <c r="K226" s="196" t="s">
        <v>24</v>
      </c>
      <c r="L226" s="195"/>
      <c r="M226" s="195"/>
      <c r="N226" s="194"/>
      <c r="O226" s="193">
        <f t="shared" ref="O226:Y226" si="46">SUM(O220:O225)</f>
        <v>177252114</v>
      </c>
      <c r="P226" s="193">
        <f t="shared" si="46"/>
        <v>0</v>
      </c>
      <c r="Q226" s="193">
        <f t="shared" si="46"/>
        <v>167252114</v>
      </c>
      <c r="R226" s="193">
        <f t="shared" si="46"/>
        <v>0</v>
      </c>
      <c r="S226" s="193">
        <f t="shared" si="46"/>
        <v>0</v>
      </c>
      <c r="T226" s="193">
        <f t="shared" si="46"/>
        <v>0</v>
      </c>
      <c r="U226" s="193">
        <f t="shared" si="46"/>
        <v>0</v>
      </c>
      <c r="V226" s="193">
        <f t="shared" si="46"/>
        <v>0</v>
      </c>
      <c r="W226" s="193">
        <f t="shared" si="46"/>
        <v>177252114</v>
      </c>
      <c r="X226" s="81">
        <f t="shared" si="46"/>
        <v>142637396</v>
      </c>
      <c r="Y226" s="81">
        <f t="shared" si="46"/>
        <v>0</v>
      </c>
      <c r="Z226" s="88">
        <f t="shared" si="44"/>
        <v>142637396</v>
      </c>
      <c r="AA226" s="78"/>
      <c r="AB226" s="78"/>
      <c r="AC226" s="78"/>
      <c r="AD226" s="79">
        <f>+Z226/W226</f>
        <v>0.80471478043979772</v>
      </c>
      <c r="AE226" s="78"/>
      <c r="AF226" s="192">
        <f>SUM(AF220:AF225)</f>
        <v>0</v>
      </c>
      <c r="AG226" s="191">
        <f>SUM(AG220:AG225)</f>
        <v>0</v>
      </c>
    </row>
    <row r="227" spans="2:35" ht="34.5" customHeight="1" x14ac:dyDescent="0.25">
      <c r="B227" s="1050"/>
      <c r="C227" s="1115"/>
      <c r="D227" s="1014"/>
      <c r="E227" s="1111"/>
      <c r="F227" s="1014"/>
      <c r="G227" s="1091" t="s">
        <v>97</v>
      </c>
      <c r="H227" s="1092"/>
      <c r="I227" s="1092"/>
      <c r="J227" s="1092"/>
      <c r="K227" s="1092"/>
      <c r="L227" s="1092"/>
      <c r="M227" s="1092"/>
      <c r="N227" s="1093"/>
      <c r="O227" s="91">
        <f>+O214+O219+O226</f>
        <v>415015114</v>
      </c>
      <c r="P227" s="91"/>
      <c r="Q227" s="91">
        <f>+O227+P227</f>
        <v>415015114</v>
      </c>
      <c r="R227" s="91"/>
      <c r="S227" s="91"/>
      <c r="T227" s="91"/>
      <c r="U227" s="91"/>
      <c r="V227" s="91">
        <f>+S227+U227</f>
        <v>0</v>
      </c>
      <c r="W227" s="91">
        <f>+O227+R227</f>
        <v>415015114</v>
      </c>
      <c r="X227" s="190">
        <f>+X226+X219+X214</f>
        <v>346620318</v>
      </c>
      <c r="Y227" s="190">
        <f>+Y214+Y219+Y226</f>
        <v>0</v>
      </c>
      <c r="Z227" s="88">
        <f t="shared" si="44"/>
        <v>346620318</v>
      </c>
      <c r="AA227" s="71"/>
      <c r="AB227" s="71"/>
      <c r="AC227" s="71"/>
      <c r="AD227" s="70">
        <f>+Z227/W227</f>
        <v>0.83519926457425353</v>
      </c>
      <c r="AE227" s="71"/>
      <c r="AF227" s="189">
        <f>+AF214+AF219+AF226</f>
        <v>0</v>
      </c>
      <c r="AG227" s="188">
        <f>+AG214+AG219+AG226</f>
        <v>0</v>
      </c>
    </row>
    <row r="228" spans="2:35" ht="24" customHeight="1" x14ac:dyDescent="0.25">
      <c r="B228" s="187"/>
      <c r="C228" s="1116" t="s">
        <v>96</v>
      </c>
      <c r="D228" s="1117"/>
      <c r="E228" s="1117"/>
      <c r="F228" s="1117"/>
      <c r="G228" s="1117"/>
      <c r="H228" s="1117"/>
      <c r="I228" s="1117"/>
      <c r="J228" s="1117"/>
      <c r="K228" s="1117"/>
      <c r="L228" s="1117"/>
      <c r="M228" s="1117"/>
      <c r="N228" s="1118"/>
      <c r="O228" s="124">
        <f>+O227</f>
        <v>415015114</v>
      </c>
      <c r="P228" s="124" t="e">
        <f>+#REF!</f>
        <v>#REF!</v>
      </c>
      <c r="Q228" s="124" t="e">
        <f>+O228+P228</f>
        <v>#REF!</v>
      </c>
      <c r="R228" s="124">
        <f>+R227</f>
        <v>0</v>
      </c>
      <c r="S228" s="124">
        <f>+S227</f>
        <v>0</v>
      </c>
      <c r="T228" s="124"/>
      <c r="U228" s="124" t="e">
        <f>+#REF!</f>
        <v>#REF!</v>
      </c>
      <c r="V228" s="125" t="e">
        <f>+R228+U228</f>
        <v>#REF!</v>
      </c>
      <c r="W228" s="124">
        <f>+O228+R228</f>
        <v>415015114</v>
      </c>
      <c r="X228" s="186">
        <f>+X227</f>
        <v>346620318</v>
      </c>
      <c r="Y228" s="186">
        <f>+Y227</f>
        <v>0</v>
      </c>
      <c r="Z228" s="88">
        <f t="shared" si="44"/>
        <v>346620318</v>
      </c>
      <c r="AA228" s="60"/>
      <c r="AB228" s="60"/>
      <c r="AC228" s="60"/>
      <c r="AD228" s="59">
        <f>+Z228/W228</f>
        <v>0.83519926457425353</v>
      </c>
      <c r="AE228" s="185">
        <f>+Z228+Z205+Z160+Z98</f>
        <v>5130823756</v>
      </c>
      <c r="AF228" s="184">
        <f>+AF227</f>
        <v>0</v>
      </c>
      <c r="AG228" s="183">
        <f>+AG227</f>
        <v>0</v>
      </c>
    </row>
    <row r="229" spans="2:35" s="138" customFormat="1" ht="33.75" customHeight="1" x14ac:dyDescent="0.25">
      <c r="B229" s="1046" t="s">
        <v>95</v>
      </c>
      <c r="C229" s="1048" t="s">
        <v>94</v>
      </c>
      <c r="D229" s="1031" t="s">
        <v>10</v>
      </c>
      <c r="E229" s="1109" t="s">
        <v>93</v>
      </c>
      <c r="F229" s="1031" t="s">
        <v>92</v>
      </c>
      <c r="G229" s="1083" t="s">
        <v>91</v>
      </c>
      <c r="H229" s="1029" t="s">
        <v>50</v>
      </c>
      <c r="I229" s="95" t="s">
        <v>29</v>
      </c>
      <c r="J229" s="95">
        <v>113</v>
      </c>
      <c r="K229" s="96" t="s">
        <v>89</v>
      </c>
      <c r="L229" s="97" t="s">
        <v>75</v>
      </c>
      <c r="M229" s="97">
        <v>12</v>
      </c>
      <c r="N229" s="97" t="s">
        <v>56</v>
      </c>
      <c r="O229" s="94">
        <f>84888000-30182400</f>
        <v>54705600</v>
      </c>
      <c r="P229" s="94"/>
      <c r="Q229" s="94">
        <f>+O229+P229</f>
        <v>54705600</v>
      </c>
      <c r="R229" s="93"/>
      <c r="S229" s="93"/>
      <c r="T229" s="93"/>
      <c r="U229" s="93"/>
      <c r="V229" s="92">
        <f>+R229+S229+U229</f>
        <v>0</v>
      </c>
      <c r="W229" s="91">
        <f>+Q229+V229</f>
        <v>54705600</v>
      </c>
      <c r="X229" s="150">
        <v>54705600</v>
      </c>
      <c r="Y229" s="148"/>
      <c r="Z229" s="88">
        <f t="shared" si="44"/>
        <v>54705600</v>
      </c>
      <c r="AA229" s="168">
        <v>41310</v>
      </c>
      <c r="AB229" s="149">
        <v>2</v>
      </c>
      <c r="AC229" s="148" t="s">
        <v>90</v>
      </c>
      <c r="AD229" s="147"/>
      <c r="AE229" s="105"/>
      <c r="AF229" s="105"/>
      <c r="AG229" s="146"/>
      <c r="AH229" s="3">
        <f>+AI229/Z229</f>
        <v>0</v>
      </c>
      <c r="AI229" s="139">
        <v>0</v>
      </c>
    </row>
    <row r="230" spans="2:35" s="138" customFormat="1" ht="58.5" customHeight="1" x14ac:dyDescent="0.25">
      <c r="B230" s="1047"/>
      <c r="C230" s="1048"/>
      <c r="D230" s="1031"/>
      <c r="E230" s="1109"/>
      <c r="F230" s="1031"/>
      <c r="G230" s="1084"/>
      <c r="H230" s="1030"/>
      <c r="I230" s="95"/>
      <c r="J230" s="95"/>
      <c r="K230" s="167" t="s">
        <v>89</v>
      </c>
      <c r="L230" s="97"/>
      <c r="M230" s="97"/>
      <c r="N230" s="97"/>
      <c r="O230" s="131">
        <v>35370000</v>
      </c>
      <c r="P230" s="131"/>
      <c r="Q230" s="131"/>
      <c r="R230" s="182"/>
      <c r="S230" s="182"/>
      <c r="T230" s="182"/>
      <c r="U230" s="182"/>
      <c r="V230" s="181"/>
      <c r="W230" s="180">
        <f>+O230+R230</f>
        <v>35370000</v>
      </c>
      <c r="X230" s="150">
        <v>35370000</v>
      </c>
      <c r="Y230" s="148"/>
      <c r="Z230" s="88">
        <f t="shared" si="44"/>
        <v>35370000</v>
      </c>
      <c r="AA230" s="168">
        <v>41583</v>
      </c>
      <c r="AB230" s="149">
        <v>124</v>
      </c>
      <c r="AC230" s="148" t="s">
        <v>88</v>
      </c>
      <c r="AD230" s="147"/>
      <c r="AE230" s="105"/>
      <c r="AF230" s="105"/>
      <c r="AG230" s="146"/>
      <c r="AH230" s="3">
        <f>+AI230/Z230</f>
        <v>0.8</v>
      </c>
      <c r="AI230" s="139">
        <v>28296000</v>
      </c>
    </row>
    <row r="231" spans="2:35" s="138" customFormat="1" ht="47.25" customHeight="1" x14ac:dyDescent="0.25">
      <c r="B231" s="1047"/>
      <c r="C231" s="1048"/>
      <c r="D231" s="1031"/>
      <c r="E231" s="1109"/>
      <c r="F231" s="1031"/>
      <c r="G231" s="1084"/>
      <c r="H231" s="1030"/>
      <c r="I231" s="95"/>
      <c r="J231" s="95"/>
      <c r="K231" s="165" t="s">
        <v>87</v>
      </c>
      <c r="L231" s="179"/>
      <c r="M231" s="179"/>
      <c r="N231" s="179"/>
      <c r="O231" s="178">
        <v>3563897</v>
      </c>
      <c r="P231" s="178"/>
      <c r="Q231" s="178"/>
      <c r="R231" s="162"/>
      <c r="S231" s="162"/>
      <c r="T231" s="162"/>
      <c r="U231" s="162"/>
      <c r="V231" s="161"/>
      <c r="W231" s="160">
        <f>+O231+R231</f>
        <v>3563897</v>
      </c>
      <c r="X231" s="150"/>
      <c r="Y231" s="148"/>
      <c r="Z231" s="88">
        <f t="shared" si="44"/>
        <v>0</v>
      </c>
      <c r="AA231" s="168"/>
      <c r="AB231" s="149"/>
      <c r="AC231" s="148"/>
      <c r="AD231" s="147"/>
      <c r="AE231" s="105"/>
      <c r="AF231" s="105"/>
      <c r="AG231" s="146"/>
      <c r="AH231" s="3"/>
      <c r="AI231" s="139"/>
    </row>
    <row r="232" spans="2:35" s="138" customFormat="1" ht="46.5" customHeight="1" x14ac:dyDescent="0.25">
      <c r="B232" s="1047"/>
      <c r="C232" s="1048"/>
      <c r="D232" s="1031"/>
      <c r="E232" s="1109"/>
      <c r="F232" s="1031"/>
      <c r="G232" s="1084"/>
      <c r="H232" s="1030"/>
      <c r="I232" s="95" t="s">
        <v>29</v>
      </c>
      <c r="J232" s="95">
        <v>114</v>
      </c>
      <c r="K232" s="167" t="s">
        <v>86</v>
      </c>
      <c r="L232" s="97" t="s">
        <v>75</v>
      </c>
      <c r="M232" s="97">
        <v>12</v>
      </c>
      <c r="N232" s="97" t="s">
        <v>56</v>
      </c>
      <c r="O232" s="94">
        <v>35370000</v>
      </c>
      <c r="P232" s="94"/>
      <c r="Q232" s="94">
        <f t="shared" ref="Q232:Q239" si="47">+O232+P232</f>
        <v>35370000</v>
      </c>
      <c r="R232" s="93"/>
      <c r="S232" s="93"/>
      <c r="T232" s="93"/>
      <c r="U232" s="93"/>
      <c r="V232" s="92"/>
      <c r="W232" s="91">
        <f t="shared" ref="W232:W239" si="48">+Q232+V232</f>
        <v>35370000</v>
      </c>
      <c r="X232" s="150">
        <v>35370000</v>
      </c>
      <c r="Y232" s="148"/>
      <c r="Z232" s="88">
        <f t="shared" si="44"/>
        <v>35370000</v>
      </c>
      <c r="AA232" s="168">
        <v>41325</v>
      </c>
      <c r="AB232" s="149">
        <v>5</v>
      </c>
      <c r="AC232" s="173" t="s">
        <v>85</v>
      </c>
      <c r="AD232" s="147"/>
      <c r="AE232" s="177"/>
      <c r="AF232" s="105"/>
      <c r="AG232" s="146"/>
      <c r="AH232" s="3">
        <f>+AI232/Z232</f>
        <v>0.25</v>
      </c>
      <c r="AI232" s="139">
        <v>8842500</v>
      </c>
    </row>
    <row r="233" spans="2:35" s="138" customFormat="1" ht="84" customHeight="1" x14ac:dyDescent="0.25">
      <c r="B233" s="1047"/>
      <c r="C233" s="1048"/>
      <c r="D233" s="1031"/>
      <c r="E233" s="1109"/>
      <c r="F233" s="1031"/>
      <c r="G233" s="1084"/>
      <c r="H233" s="1030"/>
      <c r="I233" s="95" t="s">
        <v>29</v>
      </c>
      <c r="J233" s="95">
        <v>115</v>
      </c>
      <c r="K233" s="167" t="s">
        <v>84</v>
      </c>
      <c r="L233" s="97" t="s">
        <v>75</v>
      </c>
      <c r="M233" s="97">
        <v>8</v>
      </c>
      <c r="N233" s="97" t="s">
        <v>56</v>
      </c>
      <c r="O233" s="94">
        <f>18864000+2096000</f>
        <v>20960000</v>
      </c>
      <c r="P233" s="94"/>
      <c r="Q233" s="94">
        <f t="shared" si="47"/>
        <v>20960000</v>
      </c>
      <c r="R233" s="93"/>
      <c r="S233" s="93"/>
      <c r="T233" s="93"/>
      <c r="U233" s="93"/>
      <c r="V233" s="92"/>
      <c r="W233" s="91">
        <f t="shared" si="48"/>
        <v>20960000</v>
      </c>
      <c r="X233" s="150">
        <v>20960000</v>
      </c>
      <c r="Y233" s="148"/>
      <c r="Z233" s="88">
        <f t="shared" si="44"/>
        <v>20960000</v>
      </c>
      <c r="AA233" s="168">
        <v>41369</v>
      </c>
      <c r="AB233" s="149">
        <v>37</v>
      </c>
      <c r="AC233" s="148" t="s">
        <v>83</v>
      </c>
      <c r="AD233" s="147"/>
      <c r="AE233" s="105"/>
      <c r="AF233" s="105"/>
      <c r="AG233" s="146"/>
      <c r="AH233" s="3">
        <f>+AI233/Z233</f>
        <v>0.1</v>
      </c>
      <c r="AI233" s="139">
        <v>2096000</v>
      </c>
    </row>
    <row r="234" spans="2:35" s="138" customFormat="1" ht="42.75" customHeight="1" x14ac:dyDescent="0.25">
      <c r="B234" s="1047"/>
      <c r="C234" s="1048"/>
      <c r="D234" s="1031"/>
      <c r="E234" s="1109"/>
      <c r="F234" s="1031"/>
      <c r="G234" s="1084"/>
      <c r="H234" s="1030"/>
      <c r="I234" s="95" t="s">
        <v>29</v>
      </c>
      <c r="J234" s="95">
        <v>116</v>
      </c>
      <c r="K234" s="167" t="s">
        <v>82</v>
      </c>
      <c r="L234" s="97" t="s">
        <v>75</v>
      </c>
      <c r="M234" s="97">
        <v>12</v>
      </c>
      <c r="N234" s="97" t="s">
        <v>56</v>
      </c>
      <c r="O234" s="94">
        <v>42444000</v>
      </c>
      <c r="P234" s="94"/>
      <c r="Q234" s="94">
        <f t="shared" si="47"/>
        <v>42444000</v>
      </c>
      <c r="R234" s="93"/>
      <c r="S234" s="93"/>
      <c r="T234" s="93"/>
      <c r="U234" s="93"/>
      <c r="V234" s="92"/>
      <c r="W234" s="91">
        <f t="shared" si="48"/>
        <v>42444000</v>
      </c>
      <c r="X234" s="150">
        <v>42444000</v>
      </c>
      <c r="Y234" s="148"/>
      <c r="Z234" s="88">
        <f t="shared" si="44"/>
        <v>42444000</v>
      </c>
      <c r="AA234" s="168">
        <v>41316</v>
      </c>
      <c r="AB234" s="149">
        <v>3</v>
      </c>
      <c r="AC234" s="173" t="s">
        <v>81</v>
      </c>
      <c r="AD234" s="147"/>
      <c r="AE234" s="105"/>
      <c r="AF234" s="105"/>
      <c r="AG234" s="146"/>
      <c r="AH234" s="3">
        <f>+AI234/Z234</f>
        <v>0.16666666666666666</v>
      </c>
      <c r="AI234" s="139">
        <v>7074000</v>
      </c>
    </row>
    <row r="235" spans="2:35" s="138" customFormat="1" ht="46.5" customHeight="1" x14ac:dyDescent="0.25">
      <c r="B235" s="1047"/>
      <c r="C235" s="1048"/>
      <c r="D235" s="1031"/>
      <c r="E235" s="1109"/>
      <c r="F235" s="1031"/>
      <c r="G235" s="1084"/>
      <c r="H235" s="1030"/>
      <c r="I235" s="95" t="s">
        <v>29</v>
      </c>
      <c r="J235" s="95">
        <v>117</v>
      </c>
      <c r="K235" s="167" t="s">
        <v>80</v>
      </c>
      <c r="L235" s="97" t="s">
        <v>75</v>
      </c>
      <c r="M235" s="97">
        <v>12</v>
      </c>
      <c r="N235" s="97" t="s">
        <v>56</v>
      </c>
      <c r="O235" s="94">
        <v>56592000</v>
      </c>
      <c r="P235" s="94"/>
      <c r="Q235" s="94">
        <f t="shared" si="47"/>
        <v>56592000</v>
      </c>
      <c r="R235" s="93"/>
      <c r="S235" s="93"/>
      <c r="T235" s="93"/>
      <c r="U235" s="93"/>
      <c r="V235" s="92"/>
      <c r="W235" s="91">
        <f t="shared" si="48"/>
        <v>56592000</v>
      </c>
      <c r="X235" s="150">
        <v>56592000</v>
      </c>
      <c r="Y235" s="148"/>
      <c r="Z235" s="88">
        <f t="shared" si="44"/>
        <v>56592000</v>
      </c>
      <c r="AA235" s="168">
        <v>41306</v>
      </c>
      <c r="AB235" s="149">
        <v>1</v>
      </c>
      <c r="AC235" s="173" t="s">
        <v>79</v>
      </c>
      <c r="AD235" s="172"/>
      <c r="AE235" s="105"/>
      <c r="AF235" s="105"/>
      <c r="AG235" s="146"/>
      <c r="AH235" s="3">
        <f>+AI235/Z235</f>
        <v>0.16666666666666666</v>
      </c>
      <c r="AI235" s="139">
        <v>9432000</v>
      </c>
    </row>
    <row r="236" spans="2:35" s="138" customFormat="1" ht="30" customHeight="1" x14ac:dyDescent="0.25">
      <c r="B236" s="1047"/>
      <c r="C236" s="1048"/>
      <c r="D236" s="1031"/>
      <c r="E236" s="1109"/>
      <c r="F236" s="1031"/>
      <c r="G236" s="1084"/>
      <c r="H236" s="1030"/>
      <c r="I236" s="95" t="s">
        <v>29</v>
      </c>
      <c r="J236" s="95">
        <v>118</v>
      </c>
      <c r="K236" s="176" t="s">
        <v>78</v>
      </c>
      <c r="L236" s="175" t="s">
        <v>75</v>
      </c>
      <c r="M236" s="175">
        <v>11</v>
      </c>
      <c r="N236" s="175" t="s">
        <v>56</v>
      </c>
      <c r="O236" s="94">
        <f>36028000-3016000</f>
        <v>33012000</v>
      </c>
      <c r="P236" s="94"/>
      <c r="Q236" s="94">
        <f t="shared" si="47"/>
        <v>33012000</v>
      </c>
      <c r="R236" s="93"/>
      <c r="S236" s="93"/>
      <c r="T236" s="93"/>
      <c r="U236" s="93"/>
      <c r="V236" s="92"/>
      <c r="W236" s="91">
        <f t="shared" si="48"/>
        <v>33012000</v>
      </c>
      <c r="X236" s="150">
        <v>33012000</v>
      </c>
      <c r="Y236" s="148"/>
      <c r="Z236" s="88">
        <f t="shared" si="44"/>
        <v>33012000</v>
      </c>
      <c r="AA236" s="168">
        <v>41319</v>
      </c>
      <c r="AB236" s="149"/>
      <c r="AC236" s="173" t="s">
        <v>77</v>
      </c>
      <c r="AD236" s="147"/>
      <c r="AE236" s="105"/>
      <c r="AF236" s="105"/>
      <c r="AG236" s="146"/>
      <c r="AH236" s="3"/>
      <c r="AI236" s="139"/>
    </row>
    <row r="237" spans="2:35" s="138" customFormat="1" ht="47.25" customHeight="1" x14ac:dyDescent="0.25">
      <c r="B237" s="1047"/>
      <c r="C237" s="1048"/>
      <c r="D237" s="1031"/>
      <c r="E237" s="1109"/>
      <c r="F237" s="1031"/>
      <c r="G237" s="1085"/>
      <c r="H237" s="1085"/>
      <c r="I237" s="95" t="s">
        <v>29</v>
      </c>
      <c r="J237" s="95">
        <v>119</v>
      </c>
      <c r="K237" s="167" t="s">
        <v>76</v>
      </c>
      <c r="L237" s="174" t="s">
        <v>75</v>
      </c>
      <c r="M237" s="174">
        <v>10</v>
      </c>
      <c r="N237" s="174" t="s">
        <v>56</v>
      </c>
      <c r="O237" s="94">
        <v>35370000</v>
      </c>
      <c r="P237" s="116"/>
      <c r="Q237" s="94">
        <f t="shared" si="47"/>
        <v>35370000</v>
      </c>
      <c r="R237" s="93"/>
      <c r="S237" s="93"/>
      <c r="T237" s="93"/>
      <c r="U237" s="93"/>
      <c r="V237" s="92"/>
      <c r="W237" s="91">
        <f t="shared" si="48"/>
        <v>35370000</v>
      </c>
      <c r="X237" s="150">
        <v>35370000</v>
      </c>
      <c r="Y237" s="148"/>
      <c r="Z237" s="88">
        <f t="shared" si="44"/>
        <v>35370000</v>
      </c>
      <c r="AA237" s="168">
        <v>41333</v>
      </c>
      <c r="AB237" s="149">
        <v>7</v>
      </c>
      <c r="AC237" s="173" t="s">
        <v>74</v>
      </c>
      <c r="AD237" s="172"/>
      <c r="AE237" s="105"/>
      <c r="AF237" s="105"/>
      <c r="AG237" s="146"/>
      <c r="AH237" s="3">
        <f>+AI237/Z237</f>
        <v>0.1</v>
      </c>
      <c r="AI237" s="139">
        <v>3537000</v>
      </c>
    </row>
    <row r="238" spans="2:35" s="138" customFormat="1" ht="46.5" customHeight="1" x14ac:dyDescent="0.25">
      <c r="B238" s="1047"/>
      <c r="C238" s="1048"/>
      <c r="D238" s="1031"/>
      <c r="E238" s="1109"/>
      <c r="F238" s="1031"/>
      <c r="G238" s="1084"/>
      <c r="H238" s="1030"/>
      <c r="I238" s="154" t="s">
        <v>29</v>
      </c>
      <c r="J238" s="95">
        <v>304</v>
      </c>
      <c r="K238" s="171" t="s">
        <v>73</v>
      </c>
      <c r="L238" s="170" t="s">
        <v>40</v>
      </c>
      <c r="M238" s="170">
        <v>7</v>
      </c>
      <c r="N238" s="169" t="s">
        <v>56</v>
      </c>
      <c r="O238" s="94">
        <f>35000000-1988000</f>
        <v>33012000</v>
      </c>
      <c r="P238" s="116"/>
      <c r="Q238" s="94">
        <f t="shared" si="47"/>
        <v>33012000</v>
      </c>
      <c r="R238" s="93"/>
      <c r="S238" s="93"/>
      <c r="T238" s="93"/>
      <c r="U238" s="93"/>
      <c r="V238" s="92"/>
      <c r="W238" s="91">
        <f t="shared" si="48"/>
        <v>33012000</v>
      </c>
      <c r="X238" s="150">
        <v>33012000</v>
      </c>
      <c r="Y238" s="148"/>
      <c r="Z238" s="88">
        <f t="shared" si="44"/>
        <v>33012000</v>
      </c>
      <c r="AA238" s="168">
        <v>41516</v>
      </c>
      <c r="AB238" s="149">
        <v>91</v>
      </c>
      <c r="AC238" s="148" t="s">
        <v>72</v>
      </c>
      <c r="AD238" s="147"/>
      <c r="AE238" s="105"/>
      <c r="AF238" s="105"/>
      <c r="AG238" s="146"/>
      <c r="AH238" s="3">
        <f>+AI238/Z238</f>
        <v>0.3</v>
      </c>
      <c r="AI238" s="139">
        <v>9903600</v>
      </c>
    </row>
    <row r="239" spans="2:35" s="138" customFormat="1" ht="51.75" customHeight="1" x14ac:dyDescent="0.25">
      <c r="B239" s="1047"/>
      <c r="C239" s="1048"/>
      <c r="D239" s="1031"/>
      <c r="E239" s="1109"/>
      <c r="F239" s="1031"/>
      <c r="G239" s="1085"/>
      <c r="H239" s="1085"/>
      <c r="I239" s="95"/>
      <c r="J239" s="95">
        <v>121</v>
      </c>
      <c r="K239" s="167" t="s">
        <v>71</v>
      </c>
      <c r="L239" s="121" t="s">
        <v>45</v>
      </c>
      <c r="M239" s="121">
        <v>3</v>
      </c>
      <c r="N239" s="121" t="s">
        <v>56</v>
      </c>
      <c r="O239" s="166">
        <v>24759000</v>
      </c>
      <c r="P239" s="116"/>
      <c r="Q239" s="116">
        <f t="shared" si="47"/>
        <v>24759000</v>
      </c>
      <c r="R239" s="115"/>
      <c r="S239" s="115"/>
      <c r="T239" s="115"/>
      <c r="U239" s="115"/>
      <c r="V239" s="114"/>
      <c r="W239" s="109">
        <f t="shared" si="48"/>
        <v>24759000</v>
      </c>
      <c r="X239" s="150">
        <v>24759000</v>
      </c>
      <c r="Y239" s="148"/>
      <c r="Z239" s="88">
        <f t="shared" si="44"/>
        <v>24759000</v>
      </c>
      <c r="AA239" s="148">
        <v>41603</v>
      </c>
      <c r="AB239" s="149">
        <v>127</v>
      </c>
      <c r="AC239" s="148" t="s">
        <v>70</v>
      </c>
      <c r="AD239" s="147"/>
      <c r="AE239" s="105"/>
      <c r="AF239" s="105"/>
      <c r="AG239" s="146"/>
      <c r="AH239" s="3">
        <f>+AI239/Z239</f>
        <v>1</v>
      </c>
      <c r="AI239" s="139">
        <v>24759000</v>
      </c>
    </row>
    <row r="240" spans="2:35" s="138" customFormat="1" ht="51.75" customHeight="1" x14ac:dyDescent="0.25">
      <c r="B240" s="1047"/>
      <c r="C240" s="1048"/>
      <c r="D240" s="1031"/>
      <c r="E240" s="1109"/>
      <c r="F240" s="1031"/>
      <c r="G240" s="1084"/>
      <c r="H240" s="1030"/>
      <c r="I240" s="154"/>
      <c r="J240" s="95"/>
      <c r="K240" s="165" t="s">
        <v>69</v>
      </c>
      <c r="L240" s="164"/>
      <c r="M240" s="164"/>
      <c r="N240" s="164"/>
      <c r="O240" s="163">
        <f>25000000-24759000</f>
        <v>241000</v>
      </c>
      <c r="P240" s="162"/>
      <c r="Q240" s="162"/>
      <c r="R240" s="162"/>
      <c r="S240" s="162"/>
      <c r="T240" s="162"/>
      <c r="U240" s="162"/>
      <c r="V240" s="161"/>
      <c r="W240" s="160">
        <f>+O240+R240</f>
        <v>241000</v>
      </c>
      <c r="X240" s="150"/>
      <c r="Y240" s="148"/>
      <c r="Z240" s="88">
        <f t="shared" si="44"/>
        <v>0</v>
      </c>
      <c r="AA240" s="148"/>
      <c r="AB240" s="149"/>
      <c r="AC240" s="148"/>
      <c r="AD240" s="147"/>
      <c r="AE240" s="105"/>
      <c r="AF240" s="105"/>
      <c r="AG240" s="146"/>
      <c r="AH240" s="3"/>
      <c r="AI240" s="139"/>
    </row>
    <row r="241" spans="2:35" s="138" customFormat="1" ht="63.75" customHeight="1" x14ac:dyDescent="0.25">
      <c r="B241" s="1047"/>
      <c r="C241" s="1048"/>
      <c r="D241" s="1031"/>
      <c r="E241" s="1109"/>
      <c r="F241" s="1031"/>
      <c r="G241" s="1084"/>
      <c r="H241" s="1030"/>
      <c r="I241" s="154" t="s">
        <v>29</v>
      </c>
      <c r="J241" s="95">
        <v>122</v>
      </c>
      <c r="K241" s="159" t="s">
        <v>68</v>
      </c>
      <c r="L241" s="158" t="s">
        <v>36</v>
      </c>
      <c r="M241" s="158">
        <v>12</v>
      </c>
      <c r="N241" s="158" t="s">
        <v>56</v>
      </c>
      <c r="O241" s="157">
        <f>42444000-1179000</f>
        <v>41265000</v>
      </c>
      <c r="P241" s="116"/>
      <c r="Q241" s="94">
        <f>+O241+P241</f>
        <v>41265000</v>
      </c>
      <c r="R241" s="93"/>
      <c r="S241" s="93"/>
      <c r="T241" s="93"/>
      <c r="U241" s="93"/>
      <c r="V241" s="92"/>
      <c r="W241" s="91">
        <f>+Q241+V241</f>
        <v>41265000</v>
      </c>
      <c r="X241" s="150">
        <v>41265000</v>
      </c>
      <c r="Y241" s="148"/>
      <c r="Z241" s="88">
        <f t="shared" si="44"/>
        <v>41265000</v>
      </c>
      <c r="AA241" s="156">
        <v>41387</v>
      </c>
      <c r="AB241" s="149">
        <v>45</v>
      </c>
      <c r="AC241" s="148" t="s">
        <v>67</v>
      </c>
      <c r="AD241" s="147"/>
      <c r="AE241" s="105"/>
      <c r="AF241" s="105"/>
      <c r="AG241" s="146"/>
      <c r="AH241" s="3">
        <f>+AI241/Z241</f>
        <v>0.4</v>
      </c>
      <c r="AI241" s="139">
        <v>16506000</v>
      </c>
    </row>
    <row r="242" spans="2:35" s="138" customFormat="1" ht="33" customHeight="1" x14ac:dyDescent="0.25">
      <c r="B242" s="1047"/>
      <c r="C242" s="1048"/>
      <c r="D242" s="1031"/>
      <c r="E242" s="1109"/>
      <c r="F242" s="1031"/>
      <c r="G242" s="155"/>
      <c r="H242" s="154"/>
      <c r="I242" s="154"/>
      <c r="J242" s="95">
        <v>123</v>
      </c>
      <c r="K242" s="96" t="s">
        <v>66</v>
      </c>
      <c r="L242" s="153" t="s">
        <v>48</v>
      </c>
      <c r="M242" s="152">
        <v>10</v>
      </c>
      <c r="N242" s="152" t="s">
        <v>56</v>
      </c>
      <c r="O242" s="151">
        <f>3016000-2096000+1179000+1988000-4087000</f>
        <v>0</v>
      </c>
      <c r="P242" s="94"/>
      <c r="Q242" s="94">
        <f>+O242+P242</f>
        <v>0</v>
      </c>
      <c r="R242" s="93"/>
      <c r="S242" s="93"/>
      <c r="T242" s="93"/>
      <c r="U242" s="93"/>
      <c r="V242" s="92"/>
      <c r="W242" s="91">
        <f>+Q242+V242</f>
        <v>0</v>
      </c>
      <c r="X242" s="150"/>
      <c r="Y242" s="148"/>
      <c r="Z242" s="88">
        <f t="shared" si="44"/>
        <v>0</v>
      </c>
      <c r="AA242" s="148"/>
      <c r="AB242" s="149"/>
      <c r="AC242" s="148"/>
      <c r="AD242" s="147"/>
      <c r="AE242" s="105"/>
      <c r="AF242" s="105"/>
      <c r="AG242" s="146"/>
      <c r="AH242" s="3"/>
      <c r="AI242" s="139"/>
    </row>
    <row r="243" spans="2:35" s="138" customFormat="1" ht="24.75" customHeight="1" x14ac:dyDescent="0.25">
      <c r="B243" s="1047"/>
      <c r="C243" s="1048"/>
      <c r="D243" s="1031"/>
      <c r="E243" s="1109"/>
      <c r="F243" s="1031"/>
      <c r="G243" s="1060" t="s">
        <v>24</v>
      </c>
      <c r="H243" s="1019"/>
      <c r="I243" s="1019"/>
      <c r="J243" s="1019"/>
      <c r="K243" s="1019"/>
      <c r="L243" s="101"/>
      <c r="M243" s="101"/>
      <c r="N243" s="101"/>
      <c r="O243" s="82">
        <f>SUM(O229:O242)</f>
        <v>416664497</v>
      </c>
      <c r="P243" s="82"/>
      <c r="Q243" s="82">
        <f>+O243+P243</f>
        <v>416664497</v>
      </c>
      <c r="R243" s="144">
        <f>SUM(R229)</f>
        <v>0</v>
      </c>
      <c r="S243" s="144">
        <f>SUM(S229)</f>
        <v>0</v>
      </c>
      <c r="T243" s="144"/>
      <c r="U243" s="144">
        <f>SUM(U229)</f>
        <v>0</v>
      </c>
      <c r="V243" s="145">
        <f>+R243+U243</f>
        <v>0</v>
      </c>
      <c r="W243" s="144">
        <f>+O243+R243</f>
        <v>416664497</v>
      </c>
      <c r="X243" s="81">
        <f>SUM(X229:X242)</f>
        <v>412859600</v>
      </c>
      <c r="Y243" s="81">
        <f>SUM(Y229:Y242)</f>
        <v>0</v>
      </c>
      <c r="Z243" s="88">
        <f t="shared" si="44"/>
        <v>412859600</v>
      </c>
      <c r="AA243" s="78"/>
      <c r="AB243" s="78"/>
      <c r="AC243" s="78"/>
      <c r="AD243" s="79">
        <f>+Z243/W243</f>
        <v>0.99086819964888917</v>
      </c>
      <c r="AE243" s="78"/>
      <c r="AF243" s="143">
        <f>SUM(AF229:AF242)</f>
        <v>0</v>
      </c>
      <c r="AG243" s="142">
        <f>SUM(AG229:AG242)</f>
        <v>0</v>
      </c>
      <c r="AH243" s="3"/>
      <c r="AI243" s="139"/>
    </row>
    <row r="244" spans="2:35" s="138" customFormat="1" ht="31.5" customHeight="1" x14ac:dyDescent="0.25">
      <c r="B244" s="1047"/>
      <c r="C244" s="1048"/>
      <c r="D244" s="1031"/>
      <c r="E244" s="1109"/>
      <c r="F244" s="1031"/>
      <c r="G244" s="1080" t="s">
        <v>65</v>
      </c>
      <c r="H244" s="1081"/>
      <c r="I244" s="1081"/>
      <c r="J244" s="1081"/>
      <c r="K244" s="1081"/>
      <c r="L244" s="1081"/>
      <c r="M244" s="1081"/>
      <c r="N244" s="1082"/>
      <c r="O244" s="91">
        <f>+O243</f>
        <v>416664497</v>
      </c>
      <c r="P244" s="91"/>
      <c r="Q244" s="91">
        <f>+O244+P244</f>
        <v>416664497</v>
      </c>
      <c r="R244" s="91">
        <f>SUM(R229:R229)</f>
        <v>0</v>
      </c>
      <c r="S244" s="91">
        <f>SUM(S229:S229)</f>
        <v>0</v>
      </c>
      <c r="T244" s="91"/>
      <c r="U244" s="91">
        <f>SUM(U229:U229)</f>
        <v>0</v>
      </c>
      <c r="V244" s="127">
        <f>+R244+U244</f>
        <v>0</v>
      </c>
      <c r="W244" s="91">
        <f>+O244+R244</f>
        <v>416664497</v>
      </c>
      <c r="X244" s="73">
        <f>+X243</f>
        <v>412859600</v>
      </c>
      <c r="Y244" s="72">
        <f>+Y243</f>
        <v>0</v>
      </c>
      <c r="Z244" s="88">
        <f t="shared" si="44"/>
        <v>412859600</v>
      </c>
      <c r="AA244" s="71"/>
      <c r="AB244" s="71"/>
      <c r="AC244" s="71"/>
      <c r="AD244" s="70">
        <f>+Z244/W244</f>
        <v>0.99086819964888917</v>
      </c>
      <c r="AE244" s="71"/>
      <c r="AF244" s="141">
        <f>+AF243</f>
        <v>0</v>
      </c>
      <c r="AG244" s="140">
        <f>+AG243</f>
        <v>0</v>
      </c>
      <c r="AH244" s="3"/>
      <c r="AI244" s="139"/>
    </row>
    <row r="245" spans="2:35" ht="49.5" customHeight="1" x14ac:dyDescent="0.25">
      <c r="B245" s="1047" t="str">
        <f>+B229</f>
        <v>Proyecto 907</v>
      </c>
      <c r="C245" s="1047" t="str">
        <f>+C229</f>
        <v>GESTIÓN INSTITUCIONAL</v>
      </c>
      <c r="D245" s="1013" t="str">
        <f>+D229</f>
        <v>Implementar 100% del Sistema Integrado de Gestión.</v>
      </c>
      <c r="E245" s="1108" t="s">
        <v>64</v>
      </c>
      <c r="F245" s="1013" t="s">
        <v>63</v>
      </c>
      <c r="G245" s="1087" t="s">
        <v>62</v>
      </c>
      <c r="H245" s="1087" t="s">
        <v>50</v>
      </c>
      <c r="I245" s="97" t="s">
        <v>29</v>
      </c>
      <c r="J245" s="97">
        <v>328</v>
      </c>
      <c r="K245" s="96" t="s">
        <v>61</v>
      </c>
      <c r="L245" s="95" t="s">
        <v>60</v>
      </c>
      <c r="M245" s="95">
        <v>1</v>
      </c>
      <c r="N245" s="95" t="s">
        <v>56</v>
      </c>
      <c r="O245" s="94">
        <f>6000000-1360000</f>
        <v>4640000</v>
      </c>
      <c r="P245" s="93"/>
      <c r="Q245" s="94">
        <f>+O245+P245</f>
        <v>4640000</v>
      </c>
      <c r="R245" s="93"/>
      <c r="S245" s="93"/>
      <c r="T245" s="93"/>
      <c r="U245" s="93"/>
      <c r="V245" s="92">
        <f>+R245+S245+U245</f>
        <v>0</v>
      </c>
      <c r="W245" s="91">
        <f>+Q245+V245</f>
        <v>4640000</v>
      </c>
      <c r="X245" s="137">
        <v>4640000</v>
      </c>
      <c r="Y245" s="136"/>
      <c r="Z245" s="88">
        <f t="shared" si="44"/>
        <v>4640000</v>
      </c>
      <c r="AA245" s="87">
        <v>41526</v>
      </c>
      <c r="AB245" s="50">
        <v>100</v>
      </c>
      <c r="AC245" s="50" t="s">
        <v>59</v>
      </c>
      <c r="AD245" s="103"/>
      <c r="AE245" s="50"/>
      <c r="AF245" s="50"/>
      <c r="AG245" s="49"/>
      <c r="AH245" s="3">
        <f>+AI245/Z245</f>
        <v>0</v>
      </c>
      <c r="AI245" s="2">
        <v>0</v>
      </c>
    </row>
    <row r="246" spans="2:35" ht="45" customHeight="1" x14ac:dyDescent="0.25">
      <c r="B246" s="1047"/>
      <c r="C246" s="1047"/>
      <c r="D246" s="1013"/>
      <c r="E246" s="1108"/>
      <c r="F246" s="1013"/>
      <c r="G246" s="1088"/>
      <c r="H246" s="1088"/>
      <c r="I246" s="97"/>
      <c r="J246" s="97">
        <v>123</v>
      </c>
      <c r="K246" s="96" t="s">
        <v>58</v>
      </c>
      <c r="L246" s="95" t="s">
        <v>57</v>
      </c>
      <c r="M246" s="95">
        <v>2</v>
      </c>
      <c r="N246" s="95" t="s">
        <v>56</v>
      </c>
      <c r="O246" s="134">
        <f>1360000-1360000</f>
        <v>0</v>
      </c>
      <c r="P246" s="135"/>
      <c r="Q246" s="134"/>
      <c r="R246" s="93"/>
      <c r="S246" s="93"/>
      <c r="T246" s="93"/>
      <c r="U246" s="93"/>
      <c r="V246" s="92"/>
      <c r="W246" s="91">
        <f>+O246+R246</f>
        <v>0</v>
      </c>
      <c r="X246" s="133"/>
      <c r="Y246" s="50"/>
      <c r="Z246" s="88">
        <f t="shared" si="44"/>
        <v>0</v>
      </c>
      <c r="AA246" s="50"/>
      <c r="AB246" s="50"/>
      <c r="AC246" s="50"/>
      <c r="AD246" s="103"/>
      <c r="AE246" s="50"/>
      <c r="AF246" s="50"/>
      <c r="AG246" s="49"/>
    </row>
    <row r="247" spans="2:35" ht="18" customHeight="1" x14ac:dyDescent="0.25">
      <c r="B247" s="1047"/>
      <c r="C247" s="1047"/>
      <c r="D247" s="1013"/>
      <c r="E247" s="1109"/>
      <c r="F247" s="1013"/>
      <c r="G247" s="1058" t="s">
        <v>24</v>
      </c>
      <c r="H247" s="1059"/>
      <c r="I247" s="1059"/>
      <c r="J247" s="1059"/>
      <c r="K247" s="1060"/>
      <c r="L247" s="84"/>
      <c r="M247" s="84"/>
      <c r="N247" s="84"/>
      <c r="O247" s="83">
        <f>+O245+O246</f>
        <v>4640000</v>
      </c>
      <c r="P247" s="132"/>
      <c r="Q247" s="83">
        <f>+Q245</f>
        <v>4640000</v>
      </c>
      <c r="R247" s="132"/>
      <c r="S247" s="131"/>
      <c r="T247" s="131"/>
      <c r="U247" s="130"/>
      <c r="V247" s="129"/>
      <c r="W247" s="128">
        <f>+W245+W246</f>
        <v>4640000</v>
      </c>
      <c r="X247" s="81">
        <f>+X245</f>
        <v>4640000</v>
      </c>
      <c r="Y247" s="80">
        <f>+Y245</f>
        <v>0</v>
      </c>
      <c r="Z247" s="88">
        <f t="shared" si="44"/>
        <v>4640000</v>
      </c>
      <c r="AA247" s="78"/>
      <c r="AB247" s="78"/>
      <c r="AC247" s="78"/>
      <c r="AD247" s="79">
        <f>+Z247/W247</f>
        <v>1</v>
      </c>
      <c r="AE247" s="78"/>
      <c r="AF247" s="77">
        <f>SUM(AF245:AF246)</f>
        <v>0</v>
      </c>
      <c r="AG247" s="76">
        <f>SUM(AG245:AG246)</f>
        <v>0</v>
      </c>
    </row>
    <row r="248" spans="2:35" ht="31.5" customHeight="1" x14ac:dyDescent="0.25">
      <c r="B248" s="1047"/>
      <c r="C248" s="1105"/>
      <c r="D248" s="1014"/>
      <c r="E248" s="1109"/>
      <c r="F248" s="1014"/>
      <c r="G248" s="1080" t="s">
        <v>55</v>
      </c>
      <c r="H248" s="1081"/>
      <c r="I248" s="1081"/>
      <c r="J248" s="1081"/>
      <c r="K248" s="1081"/>
      <c r="L248" s="1081"/>
      <c r="M248" s="1081"/>
      <c r="N248" s="1082"/>
      <c r="O248" s="91">
        <f>+O245+O246</f>
        <v>4640000</v>
      </c>
      <c r="P248" s="91">
        <f>+P245</f>
        <v>0</v>
      </c>
      <c r="Q248" s="91">
        <f>+O248+P248</f>
        <v>4640000</v>
      </c>
      <c r="R248" s="91">
        <f>+R245</f>
        <v>0</v>
      </c>
      <c r="S248" s="91">
        <f>+S245</f>
        <v>0</v>
      </c>
      <c r="T248" s="91"/>
      <c r="U248" s="91">
        <f>+U245</f>
        <v>0</v>
      </c>
      <c r="V248" s="127">
        <f>+R248+U248</f>
        <v>0</v>
      </c>
      <c r="W248" s="91">
        <f>+Q248+V248</f>
        <v>4640000</v>
      </c>
      <c r="X248" s="73">
        <f>+X247</f>
        <v>4640000</v>
      </c>
      <c r="Y248" s="72">
        <f>+Y247</f>
        <v>0</v>
      </c>
      <c r="Z248" s="88">
        <f t="shared" si="44"/>
        <v>4640000</v>
      </c>
      <c r="AA248" s="71"/>
      <c r="AB248" s="71"/>
      <c r="AC248" s="71"/>
      <c r="AD248" s="70">
        <f>+Z248/W248</f>
        <v>1</v>
      </c>
      <c r="AE248" s="71"/>
      <c r="AF248" s="100">
        <f>+AF247</f>
        <v>0</v>
      </c>
      <c r="AG248" s="99">
        <f>+AG247</f>
        <v>0</v>
      </c>
    </row>
    <row r="249" spans="2:35" ht="19.5" customHeight="1" x14ac:dyDescent="0.25">
      <c r="B249" s="1047"/>
      <c r="C249" s="1116" t="s">
        <v>54</v>
      </c>
      <c r="D249" s="1117"/>
      <c r="E249" s="1117"/>
      <c r="F249" s="1117"/>
      <c r="G249" s="1117"/>
      <c r="H249" s="1117"/>
      <c r="I249" s="1117"/>
      <c r="J249" s="1117"/>
      <c r="K249" s="1118"/>
      <c r="L249" s="126"/>
      <c r="M249" s="126"/>
      <c r="N249" s="126"/>
      <c r="O249" s="124">
        <f>+O244+O248</f>
        <v>421304497</v>
      </c>
      <c r="P249" s="124">
        <f>+P244+P248+P258+P261</f>
        <v>0</v>
      </c>
      <c r="Q249" s="124">
        <f>+O249+P249</f>
        <v>421304497</v>
      </c>
      <c r="R249" s="124">
        <f>+R244+R248+R258+R261</f>
        <v>0</v>
      </c>
      <c r="S249" s="124">
        <f>+S244+S248+S258+S261</f>
        <v>0</v>
      </c>
      <c r="T249" s="124"/>
      <c r="U249" s="124">
        <f>+U244+U248+U258+U261</f>
        <v>0</v>
      </c>
      <c r="V249" s="125">
        <f>+R249+U249</f>
        <v>0</v>
      </c>
      <c r="W249" s="124">
        <f>+Q249+V249</f>
        <v>421304497</v>
      </c>
      <c r="X249" s="62">
        <f>+X244+X248</f>
        <v>417499600</v>
      </c>
      <c r="Y249" s="62">
        <f>+Y244+Y248</f>
        <v>0</v>
      </c>
      <c r="Z249" s="88">
        <f t="shared" si="44"/>
        <v>417499600</v>
      </c>
      <c r="AA249" s="60"/>
      <c r="AB249" s="60"/>
      <c r="AC249" s="60"/>
      <c r="AD249" s="59">
        <f>+Z249/W249</f>
        <v>0.99096877192839461</v>
      </c>
      <c r="AE249" s="60"/>
      <c r="AF249" s="58">
        <f>+AF244+AF248</f>
        <v>0</v>
      </c>
      <c r="AG249" s="57">
        <f>+AG244+AG248</f>
        <v>0</v>
      </c>
    </row>
    <row r="250" spans="2:35" ht="45" customHeight="1" x14ac:dyDescent="0.25">
      <c r="B250" s="1047"/>
      <c r="C250" s="1031" t="s">
        <v>53</v>
      </c>
      <c r="D250" s="1031" t="s">
        <v>11</v>
      </c>
      <c r="E250" s="1106" t="s">
        <v>51</v>
      </c>
      <c r="F250" s="1012" t="s">
        <v>52</v>
      </c>
      <c r="G250" s="1085" t="s">
        <v>51</v>
      </c>
      <c r="H250" s="1100" t="s">
        <v>50</v>
      </c>
      <c r="I250" s="97"/>
      <c r="J250" s="123">
        <v>124</v>
      </c>
      <c r="K250" s="122" t="s">
        <v>49</v>
      </c>
      <c r="L250" s="121" t="s">
        <v>48</v>
      </c>
      <c r="M250" s="117">
        <v>3</v>
      </c>
      <c r="N250" s="117" t="s">
        <v>47</v>
      </c>
      <c r="O250" s="116">
        <f>180000000-80000000-3922950-88774763-6124688</f>
        <v>1177599</v>
      </c>
      <c r="P250" s="115"/>
      <c r="Q250" s="116">
        <f>+O250+P250</f>
        <v>1177599</v>
      </c>
      <c r="R250" s="115"/>
      <c r="S250" s="115"/>
      <c r="T250" s="115"/>
      <c r="U250" s="115"/>
      <c r="V250" s="114"/>
      <c r="W250" s="109">
        <f t="shared" ref="W250:W256" si="49">+O250+R250</f>
        <v>1177599</v>
      </c>
      <c r="X250" s="108">
        <f t="shared" ref="X250:X256" si="50">+O250</f>
        <v>1177599</v>
      </c>
      <c r="Y250" s="50"/>
      <c r="Z250" s="88">
        <f t="shared" si="44"/>
        <v>1177599</v>
      </c>
      <c r="AA250" s="50"/>
      <c r="AB250" s="50"/>
      <c r="AC250" s="50"/>
      <c r="AD250" s="103"/>
      <c r="AE250" s="50"/>
      <c r="AF250" s="50"/>
      <c r="AG250" s="49"/>
    </row>
    <row r="251" spans="2:35" ht="45" customHeight="1" x14ac:dyDescent="0.25">
      <c r="B251" s="1047"/>
      <c r="C251" s="1031"/>
      <c r="D251" s="1031"/>
      <c r="E251" s="1107"/>
      <c r="F251" s="1013"/>
      <c r="G251" s="1085"/>
      <c r="H251" s="1101"/>
      <c r="I251" s="97"/>
      <c r="J251" s="112"/>
      <c r="K251" s="120" t="s">
        <v>46</v>
      </c>
      <c r="L251" s="118" t="s">
        <v>45</v>
      </c>
      <c r="M251" s="117">
        <v>1</v>
      </c>
      <c r="N251" s="117" t="s">
        <v>44</v>
      </c>
      <c r="O251" s="116">
        <v>4993857</v>
      </c>
      <c r="P251" s="115"/>
      <c r="Q251" s="116"/>
      <c r="R251" s="115"/>
      <c r="S251" s="115"/>
      <c r="T251" s="115"/>
      <c r="U251" s="115"/>
      <c r="V251" s="114"/>
      <c r="W251" s="109">
        <f t="shared" si="49"/>
        <v>4993857</v>
      </c>
      <c r="X251" s="108">
        <f t="shared" si="50"/>
        <v>4993857</v>
      </c>
      <c r="Y251" s="50"/>
      <c r="Z251" s="88">
        <f t="shared" si="44"/>
        <v>4993857</v>
      </c>
      <c r="AA251" s="87">
        <v>41620</v>
      </c>
      <c r="AB251" s="50">
        <v>129</v>
      </c>
      <c r="AC251" s="50"/>
      <c r="AD251" s="103"/>
      <c r="AE251" s="50"/>
      <c r="AF251" s="50"/>
      <c r="AG251" s="49"/>
      <c r="AH251" s="3">
        <f>+AI251/Z251</f>
        <v>1</v>
      </c>
      <c r="AI251" s="2">
        <v>4993857</v>
      </c>
    </row>
    <row r="252" spans="2:35" ht="60.75" customHeight="1" x14ac:dyDescent="0.25">
      <c r="B252" s="1047"/>
      <c r="C252" s="1031"/>
      <c r="D252" s="1031"/>
      <c r="E252" s="1107"/>
      <c r="F252" s="1013"/>
      <c r="G252" s="1085"/>
      <c r="H252" s="1101"/>
      <c r="I252" s="97"/>
      <c r="J252" s="112"/>
      <c r="K252" s="119" t="s">
        <v>43</v>
      </c>
      <c r="L252" s="118"/>
      <c r="M252" s="117"/>
      <c r="N252" s="117"/>
      <c r="O252" s="116">
        <v>1130831</v>
      </c>
      <c r="P252" s="115"/>
      <c r="Q252" s="116"/>
      <c r="R252" s="115"/>
      <c r="S252" s="115"/>
      <c r="T252" s="115"/>
      <c r="U252" s="115"/>
      <c r="V252" s="114"/>
      <c r="W252" s="109">
        <f t="shared" si="49"/>
        <v>1130831</v>
      </c>
      <c r="X252" s="108">
        <f t="shared" si="50"/>
        <v>1130831</v>
      </c>
      <c r="Y252" s="50"/>
      <c r="Z252" s="88">
        <f t="shared" si="44"/>
        <v>1130831</v>
      </c>
      <c r="AA252" s="87"/>
      <c r="AB252" s="50"/>
      <c r="AC252" s="50"/>
      <c r="AD252" s="103"/>
      <c r="AE252" s="50"/>
      <c r="AF252" s="50"/>
      <c r="AG252" s="49"/>
    </row>
    <row r="253" spans="2:35" ht="69.75" customHeight="1" x14ac:dyDescent="0.25">
      <c r="B253" s="1047"/>
      <c r="C253" s="1031"/>
      <c r="D253" s="1031"/>
      <c r="E253" s="1107"/>
      <c r="F253" s="1013"/>
      <c r="G253" s="1085"/>
      <c r="H253" s="1101"/>
      <c r="I253" s="97" t="s">
        <v>42</v>
      </c>
      <c r="J253" s="112">
        <v>305</v>
      </c>
      <c r="K253" s="111" t="s">
        <v>41</v>
      </c>
      <c r="L253" s="110" t="s">
        <v>40</v>
      </c>
      <c r="M253" s="97">
        <v>1</v>
      </c>
      <c r="N253" s="97" t="s">
        <v>35</v>
      </c>
      <c r="O253" s="94">
        <v>86500000</v>
      </c>
      <c r="P253" s="93"/>
      <c r="Q253" s="94"/>
      <c r="R253" s="93"/>
      <c r="S253" s="93"/>
      <c r="T253" s="93"/>
      <c r="U253" s="93"/>
      <c r="V253" s="92"/>
      <c r="W253" s="109">
        <f t="shared" si="49"/>
        <v>86500000</v>
      </c>
      <c r="X253" s="108">
        <f t="shared" si="50"/>
        <v>86500000</v>
      </c>
      <c r="Y253" s="50"/>
      <c r="Z253" s="88">
        <f t="shared" si="44"/>
        <v>86500000</v>
      </c>
      <c r="AA253" s="87">
        <v>41540</v>
      </c>
      <c r="AB253" s="50">
        <v>113</v>
      </c>
      <c r="AC253" s="50" t="s">
        <v>39</v>
      </c>
      <c r="AD253" s="103"/>
      <c r="AE253" s="50"/>
      <c r="AF253" s="50"/>
      <c r="AG253" s="49"/>
      <c r="AH253" s="3">
        <f>+AI253/Z253</f>
        <v>0</v>
      </c>
      <c r="AI253" s="113"/>
    </row>
    <row r="254" spans="2:35" ht="75.75" customHeight="1" x14ac:dyDescent="0.25">
      <c r="B254" s="1047"/>
      <c r="C254" s="1031"/>
      <c r="D254" s="1031"/>
      <c r="E254" s="1107"/>
      <c r="F254" s="1013"/>
      <c r="G254" s="1085"/>
      <c r="H254" s="1101"/>
      <c r="I254" s="97"/>
      <c r="J254" s="112"/>
      <c r="K254" s="111" t="s">
        <v>38</v>
      </c>
      <c r="L254" s="110"/>
      <c r="M254" s="97"/>
      <c r="N254" s="97"/>
      <c r="O254" s="94">
        <f>88774763-86500000-2274763</f>
        <v>0</v>
      </c>
      <c r="P254" s="93"/>
      <c r="Q254" s="94"/>
      <c r="R254" s="93"/>
      <c r="S254" s="93"/>
      <c r="T254" s="93"/>
      <c r="U254" s="93"/>
      <c r="V254" s="92"/>
      <c r="W254" s="109">
        <f t="shared" si="49"/>
        <v>0</v>
      </c>
      <c r="X254" s="108">
        <f t="shared" si="50"/>
        <v>0</v>
      </c>
      <c r="Y254" s="50"/>
      <c r="Z254" s="88">
        <f t="shared" si="44"/>
        <v>0</v>
      </c>
      <c r="AA254" s="50"/>
      <c r="AB254" s="50"/>
      <c r="AC254" s="50"/>
      <c r="AD254" s="103"/>
      <c r="AE254" s="50"/>
      <c r="AF254" s="50"/>
      <c r="AG254" s="49"/>
    </row>
    <row r="255" spans="2:35" ht="41.25" customHeight="1" x14ac:dyDescent="0.25">
      <c r="B255" s="1047"/>
      <c r="C255" s="1031"/>
      <c r="D255" s="1031"/>
      <c r="E255" s="1107"/>
      <c r="F255" s="1013"/>
      <c r="G255" s="1085"/>
      <c r="H255" s="1101"/>
      <c r="I255" s="97" t="s">
        <v>29</v>
      </c>
      <c r="J255" s="112">
        <v>251</v>
      </c>
      <c r="K255" s="111" t="s">
        <v>37</v>
      </c>
      <c r="L255" s="110" t="s">
        <v>36</v>
      </c>
      <c r="M255" s="97">
        <v>1</v>
      </c>
      <c r="N255" s="97" t="s">
        <v>35</v>
      </c>
      <c r="O255" s="94">
        <v>3248000</v>
      </c>
      <c r="P255" s="93"/>
      <c r="Q255" s="94">
        <f>+O255+P255</f>
        <v>3248000</v>
      </c>
      <c r="R255" s="93"/>
      <c r="S255" s="93"/>
      <c r="T255" s="93"/>
      <c r="U255" s="93"/>
      <c r="V255" s="92"/>
      <c r="W255" s="109">
        <f t="shared" si="49"/>
        <v>3248000</v>
      </c>
      <c r="X255" s="108">
        <f t="shared" si="50"/>
        <v>3248000</v>
      </c>
      <c r="Y255" s="107"/>
      <c r="Z255" s="88">
        <f t="shared" si="44"/>
        <v>3248000</v>
      </c>
      <c r="AA255" s="106">
        <v>41443</v>
      </c>
      <c r="AB255" s="105">
        <v>61</v>
      </c>
      <c r="AC255" s="104" t="s">
        <v>34</v>
      </c>
      <c r="AD255" s="103"/>
      <c r="AE255" s="50"/>
      <c r="AF255" s="50"/>
      <c r="AG255" s="49"/>
      <c r="AH255" s="3">
        <f>+AI255/Z255</f>
        <v>0</v>
      </c>
      <c r="AI255" s="2">
        <v>0</v>
      </c>
    </row>
    <row r="256" spans="2:35" ht="63.75" customHeight="1" x14ac:dyDescent="0.25">
      <c r="B256" s="1047"/>
      <c r="C256" s="1031"/>
      <c r="D256" s="1031"/>
      <c r="E256" s="1107"/>
      <c r="F256" s="1013"/>
      <c r="G256" s="1085"/>
      <c r="H256" s="1102"/>
      <c r="I256" s="97"/>
      <c r="J256" s="97"/>
      <c r="K256" s="111" t="s">
        <v>33</v>
      </c>
      <c r="L256" s="110"/>
      <c r="M256" s="97"/>
      <c r="N256" s="97"/>
      <c r="O256" s="94">
        <f>674950-674950</f>
        <v>0</v>
      </c>
      <c r="P256" s="93"/>
      <c r="Q256" s="94"/>
      <c r="R256" s="93"/>
      <c r="S256" s="93"/>
      <c r="T256" s="93"/>
      <c r="U256" s="93"/>
      <c r="V256" s="92"/>
      <c r="W256" s="109">
        <f t="shared" si="49"/>
        <v>0</v>
      </c>
      <c r="X256" s="108">
        <f t="shared" si="50"/>
        <v>0</v>
      </c>
      <c r="Y256" s="107"/>
      <c r="Z256" s="88">
        <f t="shared" si="44"/>
        <v>0</v>
      </c>
      <c r="AA256" s="106"/>
      <c r="AB256" s="105"/>
      <c r="AC256" s="104"/>
      <c r="AD256" s="103"/>
      <c r="AE256" s="50"/>
      <c r="AF256" s="50"/>
      <c r="AG256" s="49"/>
    </row>
    <row r="257" spans="2:35" ht="21" customHeight="1" x14ac:dyDescent="0.25">
      <c r="B257" s="1047"/>
      <c r="C257" s="1031"/>
      <c r="D257" s="1031"/>
      <c r="E257" s="1108"/>
      <c r="F257" s="1103"/>
      <c r="G257" s="1089" t="s">
        <v>24</v>
      </c>
      <c r="H257" s="1069"/>
      <c r="I257" s="1069"/>
      <c r="J257" s="1069"/>
      <c r="K257" s="1090"/>
      <c r="L257" s="102"/>
      <c r="M257" s="101"/>
      <c r="N257" s="101"/>
      <c r="O257" s="82">
        <f>+O250+O251+O252+O253+O254+O255+O256</f>
        <v>97050287</v>
      </c>
      <c r="P257" s="82">
        <f t="shared" ref="P257:V257" si="51">+P250+P253+P255</f>
        <v>0</v>
      </c>
      <c r="Q257" s="82">
        <f t="shared" si="51"/>
        <v>4425599</v>
      </c>
      <c r="R257" s="82">
        <f t="shared" si="51"/>
        <v>0</v>
      </c>
      <c r="S257" s="82">
        <f t="shared" si="51"/>
        <v>0</v>
      </c>
      <c r="T257" s="82">
        <f t="shared" si="51"/>
        <v>0</v>
      </c>
      <c r="U257" s="82">
        <f t="shared" si="51"/>
        <v>0</v>
      </c>
      <c r="V257" s="82">
        <f t="shared" si="51"/>
        <v>0</v>
      </c>
      <c r="W257" s="82">
        <f>SUM(W250:W256)</f>
        <v>97050287</v>
      </c>
      <c r="X257" s="80">
        <f>SUM(X250:X256)</f>
        <v>97050287</v>
      </c>
      <c r="Y257" s="80">
        <f>SUM(Y250:Y256)</f>
        <v>0</v>
      </c>
      <c r="Z257" s="88">
        <f t="shared" si="44"/>
        <v>97050287</v>
      </c>
      <c r="AA257" s="78"/>
      <c r="AB257" s="78"/>
      <c r="AC257" s="78"/>
      <c r="AD257" s="79">
        <f>+Z257/W257</f>
        <v>1</v>
      </c>
      <c r="AE257" s="78"/>
      <c r="AF257" s="77">
        <f>SUM(AF250:AF256)</f>
        <v>0</v>
      </c>
      <c r="AG257" s="76">
        <f>SUM(AG250:AG256)</f>
        <v>0</v>
      </c>
      <c r="AH257" s="3">
        <f>+AI257/Z257</f>
        <v>0</v>
      </c>
    </row>
    <row r="258" spans="2:35" ht="30" customHeight="1" x14ac:dyDescent="0.25">
      <c r="B258" s="1047"/>
      <c r="C258" s="1031"/>
      <c r="D258" s="1031"/>
      <c r="E258" s="1109" t="s">
        <v>31</v>
      </c>
      <c r="F258" s="1103"/>
      <c r="G258" s="1080" t="s">
        <v>32</v>
      </c>
      <c r="H258" s="1081"/>
      <c r="I258" s="1081"/>
      <c r="J258" s="1081"/>
      <c r="K258" s="1081"/>
      <c r="L258" s="1081"/>
      <c r="M258" s="1081"/>
      <c r="N258" s="1082"/>
      <c r="O258" s="91">
        <f t="shared" ref="O258:Y258" si="52">+O257</f>
        <v>97050287</v>
      </c>
      <c r="P258" s="91">
        <f t="shared" si="52"/>
        <v>0</v>
      </c>
      <c r="Q258" s="91">
        <f t="shared" si="52"/>
        <v>4425599</v>
      </c>
      <c r="R258" s="91">
        <f t="shared" si="52"/>
        <v>0</v>
      </c>
      <c r="S258" s="91">
        <f t="shared" si="52"/>
        <v>0</v>
      </c>
      <c r="T258" s="91">
        <f t="shared" si="52"/>
        <v>0</v>
      </c>
      <c r="U258" s="91">
        <f t="shared" si="52"/>
        <v>0</v>
      </c>
      <c r="V258" s="91">
        <f t="shared" si="52"/>
        <v>0</v>
      </c>
      <c r="W258" s="91">
        <f t="shared" si="52"/>
        <v>97050287</v>
      </c>
      <c r="X258" s="73">
        <f t="shared" si="52"/>
        <v>97050287</v>
      </c>
      <c r="Y258" s="72">
        <f t="shared" si="52"/>
        <v>0</v>
      </c>
      <c r="Z258" s="88">
        <f t="shared" si="44"/>
        <v>97050287</v>
      </c>
      <c r="AA258" s="71"/>
      <c r="AB258" s="71"/>
      <c r="AC258" s="71"/>
      <c r="AD258" s="70">
        <f>+Z258/W258</f>
        <v>1</v>
      </c>
      <c r="AE258" s="71"/>
      <c r="AF258" s="100">
        <f>+AF257</f>
        <v>0</v>
      </c>
      <c r="AG258" s="99">
        <f>+AG257</f>
        <v>0</v>
      </c>
      <c r="AH258" s="3">
        <f>+AI258/Z258</f>
        <v>0</v>
      </c>
    </row>
    <row r="259" spans="2:35" ht="38.25" x14ac:dyDescent="0.25">
      <c r="B259" s="1047"/>
      <c r="C259" s="1031"/>
      <c r="D259" s="1031"/>
      <c r="E259" s="1109"/>
      <c r="F259" s="1103"/>
      <c r="G259" s="98" t="s">
        <v>31</v>
      </c>
      <c r="H259" s="97" t="s">
        <v>30</v>
      </c>
      <c r="I259" s="97" t="s">
        <v>29</v>
      </c>
      <c r="J259" s="97">
        <v>256</v>
      </c>
      <c r="K259" s="96" t="s">
        <v>28</v>
      </c>
      <c r="L259" s="95" t="s">
        <v>27</v>
      </c>
      <c r="M259" s="95">
        <v>1</v>
      </c>
      <c r="N259" s="95" t="s">
        <v>26</v>
      </c>
      <c r="O259" s="94">
        <v>943071</v>
      </c>
      <c r="P259" s="94"/>
      <c r="Q259" s="94">
        <f>+O259+P259</f>
        <v>943071</v>
      </c>
      <c r="R259" s="93"/>
      <c r="S259" s="93"/>
      <c r="T259" s="93"/>
      <c r="U259" s="93"/>
      <c r="V259" s="92"/>
      <c r="W259" s="91">
        <f>+Q259+V259</f>
        <v>943071</v>
      </c>
      <c r="X259" s="90">
        <v>943071</v>
      </c>
      <c r="Y259" s="89"/>
      <c r="Z259" s="88">
        <f t="shared" si="44"/>
        <v>943071</v>
      </c>
      <c r="AA259" s="87">
        <v>41451</v>
      </c>
      <c r="AB259" s="50">
        <v>64</v>
      </c>
      <c r="AC259" s="86" t="s">
        <v>25</v>
      </c>
      <c r="AD259" s="85"/>
      <c r="AE259" s="50"/>
      <c r="AF259" s="50"/>
      <c r="AG259" s="49"/>
      <c r="AH259" s="3">
        <f>+AI259/Z259</f>
        <v>0</v>
      </c>
      <c r="AI259" s="2">
        <v>0</v>
      </c>
    </row>
    <row r="260" spans="2:35" ht="14.25" customHeight="1" x14ac:dyDescent="0.25">
      <c r="B260" s="1047"/>
      <c r="C260" s="1031"/>
      <c r="D260" s="1031"/>
      <c r="E260" s="1109"/>
      <c r="F260" s="1103"/>
      <c r="G260" s="1089" t="s">
        <v>24</v>
      </c>
      <c r="H260" s="1069"/>
      <c r="I260" s="1069"/>
      <c r="J260" s="1069"/>
      <c r="K260" s="1090"/>
      <c r="L260" s="84"/>
      <c r="M260" s="84"/>
      <c r="N260" s="84"/>
      <c r="O260" s="82">
        <f>SUM(O259:O259)</f>
        <v>943071</v>
      </c>
      <c r="P260" s="83" t="e">
        <f>+P259+#REF!</f>
        <v>#REF!</v>
      </c>
      <c r="Q260" s="83" t="e">
        <f>+O260+P260</f>
        <v>#REF!</v>
      </c>
      <c r="R260" s="83" t="e">
        <f>+R259+#REF!</f>
        <v>#REF!</v>
      </c>
      <c r="S260" s="83" t="e">
        <f>+S259+#REF!</f>
        <v>#REF!</v>
      </c>
      <c r="T260" s="83"/>
      <c r="U260" s="83" t="e">
        <f>+U259+#REF!</f>
        <v>#REF!</v>
      </c>
      <c r="V260" s="83" t="e">
        <f>+V259+#REF!</f>
        <v>#REF!</v>
      </c>
      <c r="W260" s="82" t="e">
        <f>+W259+#REF!+#REF!+#REF!</f>
        <v>#REF!</v>
      </c>
      <c r="X260" s="81" t="e">
        <f>+X259+#REF!+#REF!</f>
        <v>#REF!</v>
      </c>
      <c r="Y260" s="80">
        <f>+Y259</f>
        <v>0</v>
      </c>
      <c r="Z260" s="80" t="e">
        <f t="shared" si="44"/>
        <v>#REF!</v>
      </c>
      <c r="AA260" s="78"/>
      <c r="AB260" s="78"/>
      <c r="AC260" s="78"/>
      <c r="AD260" s="79" t="e">
        <f>+Z260/W260</f>
        <v>#REF!</v>
      </c>
      <c r="AE260" s="78"/>
      <c r="AF260" s="77">
        <f>SUM(AF259:AF259)</f>
        <v>0</v>
      </c>
      <c r="AG260" s="76">
        <f>SUM(AG259:AG259)</f>
        <v>0</v>
      </c>
    </row>
    <row r="261" spans="2:35" ht="16.5" customHeight="1" x14ac:dyDescent="0.25">
      <c r="B261" s="1047"/>
      <c r="C261" s="1031"/>
      <c r="D261" s="1031"/>
      <c r="E261" s="1109"/>
      <c r="F261" s="1104"/>
      <c r="G261" s="1080" t="s">
        <v>23</v>
      </c>
      <c r="H261" s="1081"/>
      <c r="I261" s="1081"/>
      <c r="J261" s="1081"/>
      <c r="K261" s="1081"/>
      <c r="L261" s="1081"/>
      <c r="M261" s="1081"/>
      <c r="N261" s="1082"/>
      <c r="O261" s="74">
        <f>+O260</f>
        <v>943071</v>
      </c>
      <c r="P261" s="74">
        <f>SUM(P259:P259)</f>
        <v>0</v>
      </c>
      <c r="Q261" s="74" t="e">
        <f>+Q260</f>
        <v>#REF!</v>
      </c>
      <c r="R261" s="74">
        <f>SUM(R259:R259)</f>
        <v>0</v>
      </c>
      <c r="S261" s="74">
        <f>SUM(S259:S259)</f>
        <v>0</v>
      </c>
      <c r="T261" s="74"/>
      <c r="U261" s="74">
        <f>SUM(U259:U259)</f>
        <v>0</v>
      </c>
      <c r="V261" s="75">
        <f>+R261+U261</f>
        <v>0</v>
      </c>
      <c r="W261" s="74" t="e">
        <f>+W260</f>
        <v>#REF!</v>
      </c>
      <c r="X261" s="73" t="e">
        <f>+X260</f>
        <v>#REF!</v>
      </c>
      <c r="Y261" s="72">
        <f>+Y260</f>
        <v>0</v>
      </c>
      <c r="Z261" s="72" t="e">
        <f t="shared" si="44"/>
        <v>#REF!</v>
      </c>
      <c r="AA261" s="71"/>
      <c r="AB261" s="71"/>
      <c r="AC261" s="71"/>
      <c r="AD261" s="70" t="e">
        <f>+Z261/W261</f>
        <v>#REF!</v>
      </c>
      <c r="AE261" s="69"/>
      <c r="AF261" s="68">
        <f>+AF260</f>
        <v>0</v>
      </c>
      <c r="AG261" s="67">
        <f>+AG260</f>
        <v>0</v>
      </c>
    </row>
    <row r="262" spans="2:35" ht="20.25" customHeight="1" x14ac:dyDescent="0.25">
      <c r="B262" s="1105"/>
      <c r="C262" s="1096" t="s">
        <v>22</v>
      </c>
      <c r="D262" s="1097"/>
      <c r="E262" s="1097"/>
      <c r="F262" s="1097"/>
      <c r="G262" s="1097"/>
      <c r="H262" s="1097"/>
      <c r="I262" s="1097"/>
      <c r="J262" s="1097"/>
      <c r="K262" s="1098"/>
      <c r="L262" s="66"/>
      <c r="M262" s="66"/>
      <c r="N262" s="66"/>
      <c r="O262" s="65">
        <f>+O258+O261</f>
        <v>97993358</v>
      </c>
      <c r="P262" s="65">
        <f>+P258+P261</f>
        <v>0</v>
      </c>
      <c r="Q262" s="65">
        <f>+O262+P262</f>
        <v>97993358</v>
      </c>
      <c r="R262" s="65">
        <f>+R258+R261</f>
        <v>0</v>
      </c>
      <c r="S262" s="65">
        <f>+S261</f>
        <v>0</v>
      </c>
      <c r="T262" s="65"/>
      <c r="U262" s="65">
        <f>+U261</f>
        <v>0</v>
      </c>
      <c r="V262" s="64">
        <f>+R262+U262</f>
        <v>0</v>
      </c>
      <c r="W262" s="63">
        <f>+Q262+V262</f>
        <v>97993358</v>
      </c>
      <c r="X262" s="62" t="e">
        <f>+X258+X261</f>
        <v>#REF!</v>
      </c>
      <c r="Y262" s="62">
        <f>+Y258+Y261</f>
        <v>0</v>
      </c>
      <c r="Z262" s="61" t="e">
        <f t="shared" si="44"/>
        <v>#REF!</v>
      </c>
      <c r="AA262" s="60"/>
      <c r="AB262" s="60"/>
      <c r="AC262" s="60"/>
      <c r="AD262" s="59" t="e">
        <f>+Z262/W262</f>
        <v>#REF!</v>
      </c>
      <c r="AE262" s="58">
        <v>538000000</v>
      </c>
      <c r="AF262" s="58">
        <f>+AF258+AF261</f>
        <v>0</v>
      </c>
      <c r="AG262" s="57">
        <f>+AG258+AG261</f>
        <v>0</v>
      </c>
    </row>
    <row r="263" spans="2:35" ht="18.75" customHeight="1" x14ac:dyDescent="0.25">
      <c r="B263" s="1099" t="s">
        <v>21</v>
      </c>
      <c r="C263" s="1099"/>
      <c r="D263" s="1099"/>
      <c r="E263" s="1099"/>
      <c r="F263" s="1099"/>
      <c r="G263" s="1099"/>
      <c r="H263" s="1099"/>
      <c r="I263" s="1099"/>
      <c r="J263" s="1099"/>
      <c r="K263" s="1099"/>
      <c r="L263" s="56"/>
      <c r="M263" s="56"/>
      <c r="N263" s="56"/>
      <c r="O263" s="55">
        <f t="shared" ref="O263:Z263" si="53">+O249+O262</f>
        <v>519297855</v>
      </c>
      <c r="P263" s="55">
        <f t="shared" si="53"/>
        <v>0</v>
      </c>
      <c r="Q263" s="55">
        <f t="shared" si="53"/>
        <v>519297855</v>
      </c>
      <c r="R263" s="55">
        <f t="shared" si="53"/>
        <v>0</v>
      </c>
      <c r="S263" s="55">
        <f t="shared" si="53"/>
        <v>0</v>
      </c>
      <c r="T263" s="55">
        <f t="shared" si="53"/>
        <v>0</v>
      </c>
      <c r="U263" s="55">
        <f t="shared" si="53"/>
        <v>0</v>
      </c>
      <c r="V263" s="55">
        <f t="shared" si="53"/>
        <v>0</v>
      </c>
      <c r="W263" s="55">
        <f t="shared" si="53"/>
        <v>519297855</v>
      </c>
      <c r="X263" s="54" t="e">
        <f t="shared" si="53"/>
        <v>#REF!</v>
      </c>
      <c r="Y263" s="54">
        <f t="shared" si="53"/>
        <v>0</v>
      </c>
      <c r="Z263" s="54" t="e">
        <f t="shared" si="53"/>
        <v>#REF!</v>
      </c>
      <c r="AA263" s="53"/>
      <c r="AB263" s="53"/>
      <c r="AC263" s="53"/>
      <c r="AD263" s="52" t="e">
        <f>+Z263/W263</f>
        <v>#REF!</v>
      </c>
      <c r="AE263" s="51"/>
      <c r="AF263" s="50"/>
      <c r="AG263" s="49"/>
    </row>
    <row r="264" spans="2:35" ht="25.5" customHeight="1" x14ac:dyDescent="0.25">
      <c r="B264" s="1095" t="s">
        <v>20</v>
      </c>
      <c r="C264" s="1095"/>
      <c r="D264" s="1095"/>
      <c r="E264" s="1095"/>
      <c r="F264" s="1095"/>
      <c r="G264" s="1095"/>
      <c r="H264" s="1095"/>
      <c r="I264" s="1095"/>
      <c r="J264" s="1095"/>
      <c r="K264" s="1095"/>
      <c r="L264" s="48"/>
      <c r="M264" s="48"/>
      <c r="N264" s="48"/>
      <c r="O264" s="39">
        <f t="shared" ref="O264:V264" si="54">+O98+O160+O205+O228+O249+O262</f>
        <v>4791143855</v>
      </c>
      <c r="P264" s="39" t="e">
        <f t="shared" si="54"/>
        <v>#REF!</v>
      </c>
      <c r="Q264" s="39" t="e">
        <f t="shared" si="54"/>
        <v>#REF!</v>
      </c>
      <c r="R264" s="39">
        <f t="shared" si="54"/>
        <v>964341099</v>
      </c>
      <c r="S264" s="39" t="e">
        <f t="shared" si="54"/>
        <v>#REF!</v>
      </c>
      <c r="T264" s="39">
        <f t="shared" si="54"/>
        <v>479088000</v>
      </c>
      <c r="U264" s="39" t="e">
        <f t="shared" si="54"/>
        <v>#REF!</v>
      </c>
      <c r="V264" s="39" t="e">
        <f t="shared" si="54"/>
        <v>#REF!</v>
      </c>
      <c r="W264" s="39">
        <f>+O264+R264</f>
        <v>5755484954</v>
      </c>
      <c r="X264" s="47" t="e">
        <f>+X98+X160+X205+X228+X249+X262</f>
        <v>#REF!</v>
      </c>
      <c r="Y264" s="47">
        <f>+Y98+Y160+Y205+Y228+Y249+Y262</f>
        <v>928073827</v>
      </c>
      <c r="Z264" s="47" t="e">
        <f>+Z98+Z160+Z205+Z228+Z249+Z262</f>
        <v>#REF!</v>
      </c>
      <c r="AA264" s="46"/>
      <c r="AB264" s="46"/>
      <c r="AC264" s="45"/>
      <c r="AD264" s="44" t="e">
        <f>+Z264/W264</f>
        <v>#REF!</v>
      </c>
      <c r="AE264" s="43">
        <f>+AE228+AE262</f>
        <v>5668823756</v>
      </c>
      <c r="AF264" s="43">
        <f>+AF98+AF160+AF205+AF228+AF249+AF262</f>
        <v>488826000</v>
      </c>
      <c r="AG264" s="42">
        <f>+AG98+AG160+AG205+AG228+AG249+AG262</f>
        <v>488611853</v>
      </c>
    </row>
    <row r="265" spans="2:35" ht="35.25" hidden="1" customHeight="1" x14ac:dyDescent="0.25">
      <c r="B265" s="1094"/>
      <c r="C265" s="1094"/>
      <c r="D265" s="1094"/>
      <c r="E265" s="1094"/>
      <c r="F265" s="1094"/>
      <c r="G265" s="1094"/>
      <c r="H265" s="1094"/>
      <c r="I265" s="1094"/>
      <c r="J265" s="1094"/>
      <c r="K265" s="1094"/>
      <c r="L265" s="1094"/>
      <c r="M265" s="1094"/>
      <c r="N265" s="1094"/>
      <c r="O265" s="1094"/>
      <c r="P265" s="1094"/>
      <c r="Q265" s="1094"/>
      <c r="R265" s="41"/>
      <c r="S265" s="41"/>
      <c r="T265" s="40"/>
      <c r="U265" s="40"/>
      <c r="V265" s="40"/>
      <c r="W265" s="39"/>
      <c r="X265" s="38"/>
      <c r="Y265" s="38"/>
      <c r="Z265" s="37"/>
      <c r="AA265" s="36"/>
      <c r="AB265" s="36"/>
      <c r="AC265" s="36"/>
    </row>
    <row r="266" spans="2:35" ht="18" customHeight="1" x14ac:dyDescent="0.25">
      <c r="G266" s="35"/>
      <c r="H266" s="35"/>
      <c r="I266" s="35"/>
      <c r="J266" s="35"/>
      <c r="K266" s="35"/>
      <c r="L266" s="34"/>
      <c r="M266" s="34"/>
      <c r="N266" s="34"/>
      <c r="O266" s="27"/>
      <c r="P266" s="33"/>
      <c r="Q266" s="30"/>
      <c r="R266" s="32"/>
      <c r="S266" s="31"/>
      <c r="T266" s="30"/>
      <c r="U266" s="29"/>
      <c r="V266" s="28"/>
      <c r="W266" s="27"/>
      <c r="X266" s="6"/>
      <c r="Y266" s="6"/>
      <c r="Z266" s="7"/>
      <c r="AA266" s="6"/>
      <c r="AB266" s="6"/>
      <c r="AC266" s="6"/>
      <c r="AF266" s="26"/>
    </row>
    <row r="267" spans="2:35" ht="39" customHeight="1" x14ac:dyDescent="0.25">
      <c r="G267" s="25"/>
      <c r="H267" s="25"/>
      <c r="I267" s="25"/>
      <c r="J267" s="25"/>
      <c r="K267" s="25"/>
      <c r="L267" s="24"/>
      <c r="M267" s="24"/>
      <c r="N267" s="24"/>
      <c r="O267" s="23"/>
      <c r="P267" s="11"/>
      <c r="Q267" s="21"/>
      <c r="R267" s="22"/>
      <c r="S267" s="21"/>
      <c r="T267" s="21"/>
      <c r="U267" s="11"/>
      <c r="V267" s="11"/>
      <c r="W267" s="20"/>
      <c r="X267" s="19"/>
      <c r="Y267" s="6"/>
      <c r="Z267" s="7"/>
      <c r="AA267" s="6"/>
      <c r="AB267" s="6"/>
      <c r="AC267" s="6"/>
      <c r="AE267" s="11"/>
      <c r="AF267" s="11"/>
      <c r="AG267" s="11"/>
    </row>
    <row r="268" spans="2:35" ht="15" customHeight="1" x14ac:dyDescent="0.25">
      <c r="E268" s="17"/>
      <c r="F268" s="17"/>
      <c r="K268" s="17" t="s">
        <v>12</v>
      </c>
      <c r="L268" s="17"/>
      <c r="M268" s="17"/>
      <c r="O268" s="1078" t="s">
        <v>13</v>
      </c>
      <c r="P268" s="1079"/>
      <c r="Q268" s="1079"/>
      <c r="R268" s="1079"/>
      <c r="S268" s="1079"/>
      <c r="T268" s="1079"/>
      <c r="U268" s="1079"/>
      <c r="V268" s="1079"/>
      <c r="W268" s="1079"/>
      <c r="X268" s="18"/>
      <c r="Y268" s="18"/>
      <c r="Z268" s="18"/>
      <c r="AA268" s="6"/>
      <c r="AB268" s="6"/>
      <c r="AC268" s="6"/>
    </row>
    <row r="269" spans="2:35" ht="15" customHeight="1" x14ac:dyDescent="0.25">
      <c r="E269" s="4"/>
      <c r="F269" s="4"/>
      <c r="G269" s="17"/>
      <c r="K269" s="4" t="s">
        <v>14</v>
      </c>
      <c r="N269" s="17"/>
      <c r="O269" s="1077" t="s">
        <v>15</v>
      </c>
      <c r="P269" s="1077"/>
      <c r="Q269" s="1077"/>
      <c r="R269" s="1077"/>
      <c r="S269" s="1077"/>
      <c r="T269" s="1077"/>
      <c r="U269" s="1077"/>
      <c r="V269" s="1077"/>
      <c r="W269" s="1077"/>
      <c r="X269" s="15"/>
      <c r="Y269" s="15"/>
      <c r="Z269" s="15"/>
      <c r="AA269" s="14"/>
      <c r="AB269" s="6"/>
      <c r="AC269" s="6"/>
      <c r="AD269" s="11"/>
    </row>
    <row r="270" spans="2:35" x14ac:dyDescent="0.25">
      <c r="G270" s="4"/>
      <c r="H270" s="4"/>
      <c r="I270" s="4"/>
      <c r="J270" s="4"/>
      <c r="K270" s="4"/>
      <c r="O270" s="16"/>
      <c r="P270" s="16"/>
      <c r="S270" s="16"/>
      <c r="T270" s="16"/>
      <c r="X270" s="15"/>
      <c r="Y270" s="15"/>
      <c r="Z270" s="15"/>
      <c r="AA270" s="14"/>
      <c r="AB270" s="6"/>
      <c r="AC270" s="6"/>
      <c r="AD270" s="11"/>
    </row>
    <row r="271" spans="2:35" x14ac:dyDescent="0.25">
      <c r="O271" s="13"/>
      <c r="X271" s="10"/>
      <c r="Y271" s="10"/>
      <c r="Z271" s="10"/>
      <c r="AA271" s="6"/>
      <c r="AB271" s="6"/>
      <c r="AC271" s="6"/>
    </row>
    <row r="272" spans="2:35" x14ac:dyDescent="0.25">
      <c r="R272" s="1" t="s">
        <v>19</v>
      </c>
      <c r="X272" s="10"/>
      <c r="Y272" s="10"/>
      <c r="Z272" s="10"/>
      <c r="AA272" s="6"/>
      <c r="AB272" s="6"/>
      <c r="AC272" s="6"/>
    </row>
    <row r="273" spans="15:29" x14ac:dyDescent="0.25">
      <c r="O273" s="12"/>
      <c r="X273" s="10"/>
      <c r="Y273" s="10"/>
      <c r="Z273" s="10"/>
      <c r="AA273" s="6"/>
      <c r="AB273" s="6"/>
      <c r="AC273" s="6"/>
    </row>
    <row r="274" spans="15:29" x14ac:dyDescent="0.25">
      <c r="Q274" s="11"/>
      <c r="X274" s="8"/>
      <c r="Y274" s="8"/>
      <c r="Z274" s="7"/>
      <c r="AA274" s="6"/>
      <c r="AB274" s="6"/>
      <c r="AC274" s="6"/>
    </row>
    <row r="275" spans="15:29" x14ac:dyDescent="0.25">
      <c r="X275" s="5"/>
      <c r="Y275" s="5"/>
      <c r="Z275" s="5"/>
      <c r="AA275" s="5"/>
      <c r="AB275" s="5"/>
      <c r="AC275" s="5"/>
    </row>
    <row r="276" spans="15:29" x14ac:dyDescent="0.25">
      <c r="X276" s="10"/>
      <c r="Y276" s="10"/>
      <c r="Z276" s="10"/>
      <c r="AA276" s="6"/>
      <c r="AB276" s="6"/>
      <c r="AC276" s="9"/>
    </row>
    <row r="277" spans="15:29" x14ac:dyDescent="0.25">
      <c r="X277" s="10"/>
      <c r="Y277" s="10"/>
      <c r="Z277" s="10"/>
      <c r="AA277" s="6"/>
      <c r="AB277" s="6"/>
      <c r="AC277" s="9"/>
    </row>
    <row r="278" spans="15:29" x14ac:dyDescent="0.25">
      <c r="X278" s="8"/>
      <c r="Y278" s="8"/>
      <c r="Z278" s="7"/>
      <c r="AA278" s="6"/>
      <c r="AB278" s="6"/>
      <c r="AC278" s="6"/>
    </row>
    <row r="279" spans="15:29" x14ac:dyDescent="0.25">
      <c r="X279" s="5"/>
      <c r="Y279" s="5"/>
      <c r="Z279" s="5"/>
      <c r="AA279" s="5"/>
      <c r="AB279" s="5"/>
      <c r="AC279" s="5"/>
    </row>
  </sheetData>
  <autoFilter ref="B17:AQ264"/>
  <mergeCells count="221">
    <mergeCell ref="AG16:AG17"/>
    <mergeCell ref="AE16:AE17"/>
    <mergeCell ref="G18:G22"/>
    <mergeCell ref="H18:H22"/>
    <mergeCell ref="G80:G89"/>
    <mergeCell ref="G61:G67"/>
    <mergeCell ref="AD16:AD17"/>
    <mergeCell ref="AC16:AC17"/>
    <mergeCell ref="Z16:Z17"/>
    <mergeCell ref="AA16:AA17"/>
    <mergeCell ref="AB16:AB17"/>
    <mergeCell ref="W16:W17"/>
    <mergeCell ref="G25:N25"/>
    <mergeCell ref="R16:V16"/>
    <mergeCell ref="G57:N57"/>
    <mergeCell ref="O16:Q16"/>
    <mergeCell ref="H26:H27"/>
    <mergeCell ref="H65:H76"/>
    <mergeCell ref="I16:I17"/>
    <mergeCell ref="D44:D57"/>
    <mergeCell ref="G96:N96"/>
    <mergeCell ref="C160:K160"/>
    <mergeCell ref="G158:K158"/>
    <mergeCell ref="G153:K153"/>
    <mergeCell ref="F141:F153"/>
    <mergeCell ref="E141:E153"/>
    <mergeCell ref="F127:F140"/>
    <mergeCell ref="AF16:AF17"/>
    <mergeCell ref="G97:K97"/>
    <mergeCell ref="G116:G118"/>
    <mergeCell ref="F16:F17"/>
    <mergeCell ref="G43:N43"/>
    <mergeCell ref="G92:G95"/>
    <mergeCell ref="G90:N90"/>
    <mergeCell ref="G38:G42"/>
    <mergeCell ref="G126:K126"/>
    <mergeCell ref="E99:E115"/>
    <mergeCell ref="F99:F115"/>
    <mergeCell ref="G101:G114"/>
    <mergeCell ref="H101:H114"/>
    <mergeCell ref="G115:L115"/>
    <mergeCell ref="H116:H117"/>
    <mergeCell ref="H119:H124"/>
    <mergeCell ref="C195:C204"/>
    <mergeCell ref="D99:D115"/>
    <mergeCell ref="D92:D97"/>
    <mergeCell ref="D58:D60"/>
    <mergeCell ref="F58:F60"/>
    <mergeCell ref="F92:F97"/>
    <mergeCell ref="E116:E126"/>
    <mergeCell ref="C183:C194"/>
    <mergeCell ref="B245:B262"/>
    <mergeCell ref="C141:C159"/>
    <mergeCell ref="F154:F159"/>
    <mergeCell ref="B161:B182"/>
    <mergeCell ref="B195:B204"/>
    <mergeCell ref="B183:B194"/>
    <mergeCell ref="D195:D204"/>
    <mergeCell ref="E245:E248"/>
    <mergeCell ref="C249:K249"/>
    <mergeCell ref="F161:F182"/>
    <mergeCell ref="D161:D182"/>
    <mergeCell ref="C161:C182"/>
    <mergeCell ref="D183:D194"/>
    <mergeCell ref="E183:E194"/>
    <mergeCell ref="H183:H192"/>
    <mergeCell ref="G183:G192"/>
    <mergeCell ref="G193:N193"/>
    <mergeCell ref="F183:F194"/>
    <mergeCell ref="E161:E182"/>
    <mergeCell ref="G203:K203"/>
    <mergeCell ref="H161:H180"/>
    <mergeCell ref="G194:N194"/>
    <mergeCell ref="G181:K181"/>
    <mergeCell ref="G182:N182"/>
    <mergeCell ref="D250:D261"/>
    <mergeCell ref="C250:C261"/>
    <mergeCell ref="C245:C248"/>
    <mergeCell ref="D245:D248"/>
    <mergeCell ref="F245:F248"/>
    <mergeCell ref="E250:E257"/>
    <mergeCell ref="E258:E261"/>
    <mergeCell ref="E215:E227"/>
    <mergeCell ref="E206:E214"/>
    <mergeCell ref="C206:C227"/>
    <mergeCell ref="D229:D244"/>
    <mergeCell ref="C228:N228"/>
    <mergeCell ref="F215:F227"/>
    <mergeCell ref="G206:G214"/>
    <mergeCell ref="F229:F244"/>
    <mergeCell ref="E229:E244"/>
    <mergeCell ref="O269:W269"/>
    <mergeCell ref="O268:W268"/>
    <mergeCell ref="G258:N258"/>
    <mergeCell ref="G261:N261"/>
    <mergeCell ref="G229:G241"/>
    <mergeCell ref="H195:H202"/>
    <mergeCell ref="H245:H246"/>
    <mergeCell ref="G260:K260"/>
    <mergeCell ref="G243:K243"/>
    <mergeCell ref="G227:N227"/>
    <mergeCell ref="G248:N248"/>
    <mergeCell ref="G245:G246"/>
    <mergeCell ref="G257:K257"/>
    <mergeCell ref="B265:Q265"/>
    <mergeCell ref="B264:K264"/>
    <mergeCell ref="C262:K262"/>
    <mergeCell ref="B263:K263"/>
    <mergeCell ref="H250:H256"/>
    <mergeCell ref="F250:F261"/>
    <mergeCell ref="G250:G256"/>
    <mergeCell ref="G220:G226"/>
    <mergeCell ref="H229:H241"/>
    <mergeCell ref="G247:K247"/>
    <mergeCell ref="G244:N244"/>
    <mergeCell ref="B18:B28"/>
    <mergeCell ref="C29:C37"/>
    <mergeCell ref="C38:C43"/>
    <mergeCell ref="C58:C60"/>
    <mergeCell ref="C99:C115"/>
    <mergeCell ref="E92:E97"/>
    <mergeCell ref="C98:K98"/>
    <mergeCell ref="G100:N100"/>
    <mergeCell ref="G91:K91"/>
    <mergeCell ref="G60:N60"/>
    <mergeCell ref="C44:C57"/>
    <mergeCell ref="B44:B57"/>
    <mergeCell ref="F38:F43"/>
    <mergeCell ref="E38:E43"/>
    <mergeCell ref="D38:D43"/>
    <mergeCell ref="E58:E60"/>
    <mergeCell ref="B58:B60"/>
    <mergeCell ref="C18:C28"/>
    <mergeCell ref="G44:G56"/>
    <mergeCell ref="B38:B43"/>
    <mergeCell ref="F44:F57"/>
    <mergeCell ref="E29:E37"/>
    <mergeCell ref="G26:G27"/>
    <mergeCell ref="E44:E57"/>
    <mergeCell ref="U2:W2"/>
    <mergeCell ref="U3:W3"/>
    <mergeCell ref="H2:S5"/>
    <mergeCell ref="G16:G17"/>
    <mergeCell ref="D11:N11"/>
    <mergeCell ref="D29:D37"/>
    <mergeCell ref="D18:D28"/>
    <mergeCell ref="D15:N15"/>
    <mergeCell ref="H92:H95"/>
    <mergeCell ref="H44:H56"/>
    <mergeCell ref="G58:G59"/>
    <mergeCell ref="H58:H59"/>
    <mergeCell ref="F18:F28"/>
    <mergeCell ref="E16:E17"/>
    <mergeCell ref="G28:N28"/>
    <mergeCell ref="E18:E28"/>
    <mergeCell ref="G29:G36"/>
    <mergeCell ref="H29:H36"/>
    <mergeCell ref="F29:F37"/>
    <mergeCell ref="G37:N37"/>
    <mergeCell ref="G23:N23"/>
    <mergeCell ref="L16:N16"/>
    <mergeCell ref="K16:K17"/>
    <mergeCell ref="H38:H42"/>
    <mergeCell ref="X15:Y15"/>
    <mergeCell ref="B229:B244"/>
    <mergeCell ref="C229:C244"/>
    <mergeCell ref="B206:B227"/>
    <mergeCell ref="J16:J17"/>
    <mergeCell ref="G161:G180"/>
    <mergeCell ref="F61:F79"/>
    <mergeCell ref="E61:E79"/>
    <mergeCell ref="D61:D79"/>
    <mergeCell ref="C61:C79"/>
    <mergeCell ref="B61:B79"/>
    <mergeCell ref="F80:F91"/>
    <mergeCell ref="E80:E91"/>
    <mergeCell ref="D80:D91"/>
    <mergeCell ref="C80:C91"/>
    <mergeCell ref="B80:B91"/>
    <mergeCell ref="B16:B17"/>
    <mergeCell ref="B29:B37"/>
    <mergeCell ref="B92:B98"/>
    <mergeCell ref="B127:B140"/>
    <mergeCell ref="B99:B115"/>
    <mergeCell ref="D154:D159"/>
    <mergeCell ref="C127:C140"/>
    <mergeCell ref="H118:L118"/>
    <mergeCell ref="G119:G124"/>
    <mergeCell ref="D127:D140"/>
    <mergeCell ref="C116:C126"/>
    <mergeCell ref="D116:D126"/>
    <mergeCell ref="B141:B160"/>
    <mergeCell ref="B116:B126"/>
    <mergeCell ref="E127:E140"/>
    <mergeCell ref="G140:K140"/>
    <mergeCell ref="H127:H139"/>
    <mergeCell ref="G159:K159"/>
    <mergeCell ref="AH16:AH17"/>
    <mergeCell ref="AI16:AI17"/>
    <mergeCell ref="C205:K205"/>
    <mergeCell ref="D206:D227"/>
    <mergeCell ref="G204:N204"/>
    <mergeCell ref="E195:E204"/>
    <mergeCell ref="F195:F204"/>
    <mergeCell ref="G195:G202"/>
    <mergeCell ref="G152:K152"/>
    <mergeCell ref="G154:G157"/>
    <mergeCell ref="H154:H157"/>
    <mergeCell ref="G141:G151"/>
    <mergeCell ref="H141:H151"/>
    <mergeCell ref="G127:G139"/>
    <mergeCell ref="F206:F214"/>
    <mergeCell ref="C16:C17"/>
    <mergeCell ref="D16:D17"/>
    <mergeCell ref="C92:C97"/>
    <mergeCell ref="F116:F126"/>
    <mergeCell ref="D141:D153"/>
    <mergeCell ref="H16:H17"/>
    <mergeCell ref="H206:H226"/>
    <mergeCell ref="G215:G219"/>
    <mergeCell ref="E154:E159"/>
  </mergeCells>
  <printOptions horizontalCentered="1" verticalCentered="1"/>
  <pageMargins left="0" right="0" top="0" bottom="0.98425196850393704" header="0" footer="0.15748031496062992"/>
  <pageSetup paperSize="128" scale="55" orientation="landscape" r:id="rId1"/>
  <headerFooter>
    <oddHeader>&amp;R</oddHeader>
    <oddFooter>&amp;L                                  Elaboró: Marta QuinteroOficina de Planeación.&amp;C&amp;P&amp;RVERSIÓN 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tabSelected="1" view="pageBreakPreview" topLeftCell="E10" zoomScaleNormal="100" zoomScaleSheetLayoutView="100" workbookViewId="0">
      <selection activeCell="G19" sqref="G19"/>
    </sheetView>
  </sheetViews>
  <sheetFormatPr baseColWidth="10" defaultRowHeight="11.25" x14ac:dyDescent="0.2"/>
  <cols>
    <col min="1" max="1" width="11.42578125" style="542" customWidth="1"/>
    <col min="2" max="2" width="12.42578125" style="542" customWidth="1"/>
    <col min="3" max="3" width="10.28515625" style="542" hidden="1" customWidth="1"/>
    <col min="4" max="4" width="11.42578125" style="542" customWidth="1"/>
    <col min="5" max="5" width="20.85546875" style="542" customWidth="1"/>
    <col min="6" max="6" width="16.7109375" style="542" customWidth="1"/>
    <col min="7" max="7" width="34" style="542" customWidth="1"/>
    <col min="8" max="8" width="19.140625" style="542" customWidth="1"/>
    <col min="9" max="9" width="6.140625" style="542" hidden="1" customWidth="1"/>
    <col min="10" max="10" width="16" style="1411" customWidth="1"/>
    <col min="11" max="11" width="14.7109375" style="542" customWidth="1"/>
    <col min="12" max="12" width="13.28515625" style="542" customWidth="1"/>
    <col min="13" max="13" width="16.28515625" style="542" customWidth="1"/>
    <col min="14" max="14" width="18.5703125" style="542" hidden="1" customWidth="1"/>
    <col min="15" max="15" width="12" style="542" bestFit="1" customWidth="1"/>
    <col min="16" max="16" width="12.85546875" style="542" bestFit="1" customWidth="1"/>
    <col min="17" max="16384" width="11.42578125" style="542"/>
  </cols>
  <sheetData>
    <row r="1" spans="1:14" s="957" customFormat="1" ht="12.75" customHeight="1" x14ac:dyDescent="0.25">
      <c r="A1" s="958"/>
      <c r="B1" s="959"/>
      <c r="C1" s="959"/>
      <c r="D1" s="959"/>
      <c r="E1" s="959"/>
      <c r="F1" s="1159" t="s">
        <v>768</v>
      </c>
      <c r="G1" s="1160"/>
      <c r="H1" s="1160"/>
      <c r="I1" s="1160"/>
      <c r="J1" s="1160"/>
      <c r="K1" s="1161"/>
      <c r="L1" s="1168" t="s">
        <v>501</v>
      </c>
      <c r="M1" s="1168"/>
    </row>
    <row r="2" spans="1:14" s="957" customFormat="1" ht="12.75" customHeight="1" x14ac:dyDescent="0.25">
      <c r="A2" s="960"/>
      <c r="B2" s="961"/>
      <c r="C2" s="961"/>
      <c r="D2" s="961"/>
      <c r="E2" s="961"/>
      <c r="F2" s="1162"/>
      <c r="G2" s="1163"/>
      <c r="H2" s="1163"/>
      <c r="I2" s="1163"/>
      <c r="J2" s="1163"/>
      <c r="K2" s="1164"/>
      <c r="L2" s="1168" t="s">
        <v>561</v>
      </c>
      <c r="M2" s="1168"/>
    </row>
    <row r="3" spans="1:14" s="957" customFormat="1" ht="12" customHeight="1" x14ac:dyDescent="0.25">
      <c r="A3" s="960"/>
      <c r="B3" s="961"/>
      <c r="C3" s="961"/>
      <c r="D3" s="961"/>
      <c r="E3" s="961"/>
      <c r="F3" s="1162"/>
      <c r="G3" s="1163"/>
      <c r="H3" s="1163"/>
      <c r="I3" s="1163"/>
      <c r="J3" s="1163"/>
      <c r="K3" s="1164"/>
      <c r="L3" s="1169" t="s">
        <v>764</v>
      </c>
      <c r="M3" s="1169"/>
    </row>
    <row r="4" spans="1:14" s="957" customFormat="1" ht="22.5" customHeight="1" x14ac:dyDescent="0.25">
      <c r="A4" s="962"/>
      <c r="B4" s="963"/>
      <c r="C4" s="963"/>
      <c r="D4" s="963"/>
      <c r="E4" s="963"/>
      <c r="F4" s="1165"/>
      <c r="G4" s="1166"/>
      <c r="H4" s="1166"/>
      <c r="I4" s="1166"/>
      <c r="J4" s="1166"/>
      <c r="K4" s="1167"/>
      <c r="L4" s="1169" t="s">
        <v>765</v>
      </c>
      <c r="M4" s="1169"/>
    </row>
    <row r="5" spans="1:14" ht="12.75" customHeight="1" x14ac:dyDescent="0.2">
      <c r="A5" s="1151" t="s">
        <v>526</v>
      </c>
      <c r="B5" s="1151"/>
      <c r="C5" s="1151"/>
      <c r="D5" s="1170" t="s">
        <v>530</v>
      </c>
      <c r="E5" s="1171"/>
      <c r="F5" s="1171"/>
      <c r="G5" s="1171"/>
      <c r="H5" s="1171"/>
      <c r="I5" s="1171"/>
      <c r="J5" s="1171"/>
      <c r="K5" s="1171"/>
      <c r="L5" s="1171"/>
      <c r="M5" s="1172"/>
      <c r="N5" s="969"/>
    </row>
    <row r="6" spans="1:14" ht="11.25" customHeight="1" x14ac:dyDescent="0.2">
      <c r="A6" s="1151" t="s">
        <v>521</v>
      </c>
      <c r="B6" s="1151"/>
      <c r="C6" s="1151"/>
      <c r="D6" s="1152" t="s">
        <v>522</v>
      </c>
      <c r="E6" s="1153"/>
      <c r="F6" s="1153"/>
      <c r="G6" s="1153"/>
      <c r="H6" s="1153"/>
      <c r="I6" s="1153"/>
      <c r="J6" s="1153"/>
      <c r="K6" s="1153"/>
      <c r="L6" s="1153"/>
      <c r="M6" s="1154"/>
      <c r="N6" s="969"/>
    </row>
    <row r="7" spans="1:14" ht="12.75" customHeight="1" x14ac:dyDescent="0.2">
      <c r="A7" s="1155" t="s">
        <v>516</v>
      </c>
      <c r="B7" s="1155"/>
      <c r="C7" s="1155"/>
      <c r="D7" s="1156" t="s">
        <v>517</v>
      </c>
      <c r="E7" s="1157"/>
      <c r="F7" s="1157"/>
      <c r="G7" s="1157"/>
      <c r="H7" s="1157"/>
      <c r="I7" s="1157"/>
      <c r="J7" s="1157"/>
      <c r="K7" s="1157"/>
      <c r="L7" s="1157"/>
      <c r="M7" s="1158"/>
      <c r="N7" s="969"/>
    </row>
    <row r="8" spans="1:14" ht="12.75" customHeight="1" x14ac:dyDescent="0.2">
      <c r="A8" s="1155" t="s">
        <v>518</v>
      </c>
      <c r="B8" s="1155"/>
      <c r="C8" s="1155"/>
      <c r="D8" s="1156" t="s">
        <v>506</v>
      </c>
      <c r="E8" s="1157"/>
      <c r="F8" s="1157"/>
      <c r="G8" s="1157"/>
      <c r="H8" s="1157"/>
      <c r="I8" s="1157"/>
      <c r="J8" s="1157"/>
      <c r="K8" s="1157"/>
      <c r="L8" s="1157"/>
      <c r="M8" s="1158"/>
      <c r="N8" s="969"/>
    </row>
    <row r="9" spans="1:14" ht="12" customHeight="1" x14ac:dyDescent="0.2">
      <c r="A9" s="1156" t="s">
        <v>524</v>
      </c>
      <c r="B9" s="1157"/>
      <c r="C9" s="1158"/>
      <c r="D9" s="1155" t="s">
        <v>519</v>
      </c>
      <c r="E9" s="1155"/>
      <c r="F9" s="1155"/>
      <c r="G9" s="1155"/>
      <c r="H9" s="1155"/>
      <c r="I9" s="1155"/>
      <c r="J9" s="1155"/>
      <c r="K9" s="1155"/>
      <c r="L9" s="1155"/>
      <c r="M9" s="1155"/>
      <c r="N9" s="969"/>
    </row>
    <row r="10" spans="1:14" ht="12" customHeight="1" x14ac:dyDescent="0.2">
      <c r="A10" s="1156" t="s">
        <v>529</v>
      </c>
      <c r="B10" s="1157"/>
      <c r="C10" s="1158"/>
      <c r="D10" s="1156" t="s">
        <v>520</v>
      </c>
      <c r="E10" s="1157"/>
      <c r="F10" s="1157"/>
      <c r="G10" s="1157"/>
      <c r="H10" s="1157"/>
      <c r="I10" s="1157"/>
      <c r="J10" s="1157"/>
      <c r="K10" s="1157"/>
      <c r="L10" s="1157"/>
      <c r="M10" s="1158"/>
      <c r="N10" s="969"/>
    </row>
    <row r="11" spans="1:14" ht="12.75" hidden="1" x14ac:dyDescent="0.2">
      <c r="A11" s="551"/>
      <c r="B11" s="552"/>
      <c r="C11" s="552"/>
      <c r="D11" s="553"/>
      <c r="E11" s="541"/>
      <c r="F11" s="541"/>
      <c r="G11" s="540"/>
      <c r="H11" s="540"/>
      <c r="I11" s="540"/>
    </row>
    <row r="12" spans="1:14" ht="23.25" customHeight="1" x14ac:dyDescent="0.2">
      <c r="A12" s="1173" t="s">
        <v>550</v>
      </c>
      <c r="B12" s="1173" t="s">
        <v>551</v>
      </c>
      <c r="C12" s="1173" t="s">
        <v>508</v>
      </c>
      <c r="D12" s="1173" t="s">
        <v>2</v>
      </c>
      <c r="E12" s="1173" t="s">
        <v>537</v>
      </c>
      <c r="F12" s="1173" t="s">
        <v>766</v>
      </c>
      <c r="G12" s="1173" t="s">
        <v>3</v>
      </c>
      <c r="H12" s="1173" t="s">
        <v>4</v>
      </c>
      <c r="I12" s="1173" t="s">
        <v>509</v>
      </c>
      <c r="J12" s="1175" t="s">
        <v>743</v>
      </c>
      <c r="K12" s="1176"/>
      <c r="L12" s="1177"/>
      <c r="M12" s="1178" t="s">
        <v>740</v>
      </c>
    </row>
    <row r="13" spans="1:14" ht="24" customHeight="1" x14ac:dyDescent="0.2">
      <c r="A13" s="1174"/>
      <c r="B13" s="1174"/>
      <c r="C13" s="1174"/>
      <c r="D13" s="1174"/>
      <c r="E13" s="1174"/>
      <c r="F13" s="1174"/>
      <c r="G13" s="1174"/>
      <c r="H13" s="1174"/>
      <c r="I13" s="1174"/>
      <c r="J13" s="1412" t="s">
        <v>742</v>
      </c>
      <c r="K13" s="554" t="s">
        <v>744</v>
      </c>
      <c r="L13" s="953" t="s">
        <v>741</v>
      </c>
      <c r="M13" s="1179"/>
    </row>
    <row r="14" spans="1:14" ht="45.75" customHeight="1" x14ac:dyDescent="0.2">
      <c r="A14" s="1192" t="s">
        <v>554</v>
      </c>
      <c r="B14" s="1192" t="s">
        <v>552</v>
      </c>
      <c r="C14" s="1192"/>
      <c r="D14" s="1192" t="s">
        <v>553</v>
      </c>
      <c r="E14" s="1194" t="s">
        <v>546</v>
      </c>
      <c r="F14" s="1183" t="s">
        <v>548</v>
      </c>
      <c r="G14" s="556" t="s">
        <v>771</v>
      </c>
      <c r="H14" s="597" t="s">
        <v>777</v>
      </c>
      <c r="I14" s="569"/>
      <c r="J14" s="1413">
        <f>584885000+95124000+4557879</f>
        <v>684566879</v>
      </c>
      <c r="K14" s="973"/>
      <c r="L14" s="973"/>
      <c r="M14" s="974">
        <f>+J14+K14+L14</f>
        <v>684566879</v>
      </c>
    </row>
    <row r="15" spans="1:14" ht="12" customHeight="1" x14ac:dyDescent="0.2">
      <c r="A15" s="1192"/>
      <c r="B15" s="1192"/>
      <c r="C15" s="1192"/>
      <c r="D15" s="1192"/>
      <c r="E15" s="1195"/>
      <c r="F15" s="1184"/>
      <c r="G15" s="1185" t="s">
        <v>510</v>
      </c>
      <c r="H15" s="1186"/>
      <c r="I15" s="1187"/>
      <c r="J15" s="1414">
        <f>+J14</f>
        <v>684566879</v>
      </c>
      <c r="K15" s="975">
        <f t="shared" ref="K15" si="0">+K14</f>
        <v>0</v>
      </c>
      <c r="L15" s="975"/>
      <c r="M15" s="975">
        <f>+J15+K15</f>
        <v>684566879</v>
      </c>
    </row>
    <row r="16" spans="1:14" ht="17.25" customHeight="1" x14ac:dyDescent="0.2">
      <c r="A16" s="1192"/>
      <c r="B16" s="1192"/>
      <c r="C16" s="1192"/>
      <c r="D16" s="1192"/>
      <c r="E16" s="1188" t="s">
        <v>511</v>
      </c>
      <c r="F16" s="1189"/>
      <c r="G16" s="1189"/>
      <c r="H16" s="1189"/>
      <c r="I16" s="1190"/>
      <c r="J16" s="1415">
        <f>+J15</f>
        <v>684566879</v>
      </c>
      <c r="K16" s="976">
        <f>+K15</f>
        <v>0</v>
      </c>
      <c r="L16" s="976"/>
      <c r="M16" s="977">
        <f>+J16+K16</f>
        <v>684566879</v>
      </c>
    </row>
    <row r="17" spans="1:15" ht="34.5" customHeight="1" x14ac:dyDescent="0.2">
      <c r="A17" s="1192"/>
      <c r="B17" s="1192"/>
      <c r="C17" s="1192"/>
      <c r="D17" s="1192"/>
      <c r="E17" s="1203" t="s">
        <v>536</v>
      </c>
      <c r="F17" s="1203" t="s">
        <v>739</v>
      </c>
      <c r="G17" s="970" t="s">
        <v>774</v>
      </c>
      <c r="H17" s="597" t="s">
        <v>777</v>
      </c>
      <c r="I17" s="584"/>
      <c r="J17" s="1416">
        <v>80000000</v>
      </c>
      <c r="K17" s="978">
        <f>1200000000-810000000+200000000</f>
        <v>590000000</v>
      </c>
      <c r="L17" s="979"/>
      <c r="M17" s="980">
        <f>+J17+K17+L17</f>
        <v>670000000</v>
      </c>
    </row>
    <row r="18" spans="1:15" ht="18.75" customHeight="1" x14ac:dyDescent="0.2">
      <c r="A18" s="1192"/>
      <c r="B18" s="1192"/>
      <c r="C18" s="1192"/>
      <c r="D18" s="1192"/>
      <c r="E18" s="1203"/>
      <c r="F18" s="1203"/>
      <c r="G18" s="1186" t="s">
        <v>510</v>
      </c>
      <c r="H18" s="1186"/>
      <c r="I18" s="1191"/>
      <c r="J18" s="1417">
        <f>+J17</f>
        <v>80000000</v>
      </c>
      <c r="K18" s="982">
        <f>K17</f>
        <v>590000000</v>
      </c>
      <c r="L18" s="982"/>
      <c r="M18" s="983">
        <f>+J18+K18</f>
        <v>670000000</v>
      </c>
      <c r="N18" s="614"/>
    </row>
    <row r="19" spans="1:15" ht="28.5" customHeight="1" x14ac:dyDescent="0.2">
      <c r="A19" s="1192"/>
      <c r="B19" s="1192"/>
      <c r="C19" s="1192"/>
      <c r="D19" s="1192"/>
      <c r="E19" s="1203"/>
      <c r="F19" s="1203"/>
      <c r="G19" s="844" t="s">
        <v>772</v>
      </c>
      <c r="H19" s="597" t="s">
        <v>777</v>
      </c>
      <c r="I19" s="611"/>
      <c r="J19" s="1418">
        <v>200000000</v>
      </c>
      <c r="K19" s="984">
        <f>300000000+7192928</f>
        <v>307192928</v>
      </c>
      <c r="L19" s="985"/>
      <c r="M19" s="986">
        <f>+J19+K19+L19</f>
        <v>507192928</v>
      </c>
    </row>
    <row r="20" spans="1:15" ht="20.25" customHeight="1" x14ac:dyDescent="0.2">
      <c r="A20" s="1192"/>
      <c r="B20" s="1192"/>
      <c r="C20" s="1192"/>
      <c r="D20" s="1192"/>
      <c r="E20" s="1203"/>
      <c r="F20" s="1203"/>
      <c r="G20" s="1186" t="s">
        <v>510</v>
      </c>
      <c r="H20" s="1186"/>
      <c r="I20" s="1191"/>
      <c r="J20" s="1419">
        <f>+J19</f>
        <v>200000000</v>
      </c>
      <c r="K20" s="987">
        <f>+K19</f>
        <v>307192928</v>
      </c>
      <c r="L20" s="987"/>
      <c r="M20" s="987">
        <f>+J20+K20</f>
        <v>507192928</v>
      </c>
      <c r="N20" s="607"/>
    </row>
    <row r="21" spans="1:15" ht="35.25" customHeight="1" x14ac:dyDescent="0.2">
      <c r="A21" s="1192"/>
      <c r="B21" s="1192"/>
      <c r="C21" s="1192"/>
      <c r="D21" s="1192"/>
      <c r="E21" s="1203"/>
      <c r="F21" s="1203"/>
      <c r="G21" s="971" t="s">
        <v>775</v>
      </c>
      <c r="H21" s="597" t="s">
        <v>777</v>
      </c>
      <c r="I21" s="841"/>
      <c r="J21" s="988">
        <f>150124000-95124000</f>
        <v>55000000</v>
      </c>
      <c r="K21" s="989"/>
      <c r="L21" s="989"/>
      <c r="M21" s="989">
        <f>+J21+K21+L21</f>
        <v>55000000</v>
      </c>
      <c r="N21" s="607"/>
    </row>
    <row r="22" spans="1:15" ht="20.25" customHeight="1" x14ac:dyDescent="0.2">
      <c r="A22" s="1192"/>
      <c r="B22" s="1192"/>
      <c r="C22" s="1192"/>
      <c r="D22" s="1192"/>
      <c r="E22" s="1203"/>
      <c r="F22" s="1203"/>
      <c r="G22" s="1186" t="s">
        <v>510</v>
      </c>
      <c r="H22" s="1186"/>
      <c r="I22" s="1191"/>
      <c r="J22" s="1419">
        <f>+J21</f>
        <v>55000000</v>
      </c>
      <c r="K22" s="987">
        <f>+K21</f>
        <v>0</v>
      </c>
      <c r="L22" s="987"/>
      <c r="M22" s="987">
        <f>+J22+K22</f>
        <v>55000000</v>
      </c>
      <c r="N22" s="607"/>
    </row>
    <row r="23" spans="1:15" ht="10.5" customHeight="1" x14ac:dyDescent="0.2">
      <c r="A23" s="1192"/>
      <c r="B23" s="1192"/>
      <c r="C23" s="1193"/>
      <c r="D23" s="1192"/>
      <c r="E23" s="1188" t="s">
        <v>511</v>
      </c>
      <c r="F23" s="1189"/>
      <c r="G23" s="1189"/>
      <c r="H23" s="1189"/>
      <c r="I23" s="1190"/>
      <c r="J23" s="1415">
        <f>+J18+J20+J22</f>
        <v>335000000</v>
      </c>
      <c r="K23" s="976">
        <f>K18+K20</f>
        <v>897192928</v>
      </c>
      <c r="L23" s="976">
        <f>+L18+L20+L22</f>
        <v>0</v>
      </c>
      <c r="M23" s="976">
        <f>+M18+M20+M22</f>
        <v>1232192928</v>
      </c>
      <c r="N23" s="567" t="e">
        <f>+#REF!</f>
        <v>#REF!</v>
      </c>
      <c r="O23" s="557"/>
    </row>
    <row r="24" spans="1:15" ht="42.75" customHeight="1" x14ac:dyDescent="0.2">
      <c r="A24" s="1192"/>
      <c r="B24" s="1192"/>
      <c r="C24" s="1196"/>
      <c r="D24" s="1192"/>
      <c r="E24" s="1183" t="s">
        <v>544</v>
      </c>
      <c r="F24" s="964" t="s">
        <v>545</v>
      </c>
      <c r="G24" s="597" t="s">
        <v>762</v>
      </c>
      <c r="H24" s="597" t="s">
        <v>777</v>
      </c>
      <c r="I24" s="573"/>
      <c r="J24" s="1420">
        <f>311393000-4557879</f>
        <v>306835121</v>
      </c>
      <c r="K24" s="990"/>
      <c r="L24" s="990"/>
      <c r="M24" s="990">
        <f>+J24+K24+L24</f>
        <v>306835121</v>
      </c>
    </row>
    <row r="25" spans="1:15" ht="15" customHeight="1" x14ac:dyDescent="0.2">
      <c r="A25" s="1192"/>
      <c r="B25" s="1192"/>
      <c r="C25" s="1192"/>
      <c r="D25" s="1192"/>
      <c r="E25" s="1184"/>
      <c r="F25" s="965"/>
      <c r="G25" s="1197" t="s">
        <v>510</v>
      </c>
      <c r="H25" s="1198"/>
      <c r="I25" s="1199"/>
      <c r="J25" s="1417">
        <f>+J24</f>
        <v>306835121</v>
      </c>
      <c r="K25" s="981">
        <f>+K24</f>
        <v>0</v>
      </c>
      <c r="L25" s="981"/>
      <c r="M25" s="981">
        <f>+J25+K25</f>
        <v>306835121</v>
      </c>
    </row>
    <row r="26" spans="1:15" ht="12" customHeight="1" x14ac:dyDescent="0.2">
      <c r="A26" s="1193"/>
      <c r="B26" s="1193"/>
      <c r="C26" s="1193"/>
      <c r="D26" s="1193"/>
      <c r="E26" s="1200" t="s">
        <v>511</v>
      </c>
      <c r="F26" s="1201"/>
      <c r="G26" s="1201"/>
      <c r="H26" s="1201"/>
      <c r="I26" s="1202"/>
      <c r="J26" s="991">
        <f>+J25</f>
        <v>306835121</v>
      </c>
      <c r="K26" s="991">
        <f>+K25</f>
        <v>0</v>
      </c>
      <c r="L26" s="991"/>
      <c r="M26" s="991">
        <f>+J26+K26</f>
        <v>306835121</v>
      </c>
      <c r="N26" s="555">
        <f t="shared" ref="N26" si="1">+N25</f>
        <v>0</v>
      </c>
    </row>
    <row r="27" spans="1:15" ht="27" customHeight="1" x14ac:dyDescent="0.2">
      <c r="A27" s="1180" t="s">
        <v>549</v>
      </c>
      <c r="B27" s="1181"/>
      <c r="C27" s="1181"/>
      <c r="D27" s="1181"/>
      <c r="E27" s="1181"/>
      <c r="F27" s="1181"/>
      <c r="G27" s="1181"/>
      <c r="H27" s="1181"/>
      <c r="I27" s="1182"/>
      <c r="J27" s="1421">
        <f>+J16+J23+J26</f>
        <v>1326402000</v>
      </c>
      <c r="K27" s="992">
        <f>+K16+K23+K26</f>
        <v>897192928</v>
      </c>
      <c r="L27" s="992"/>
      <c r="M27" s="992">
        <f>+J27+K27</f>
        <v>2223594928</v>
      </c>
      <c r="N27" s="578" t="e">
        <f>+#REF!+N16+N23+N26</f>
        <v>#REF!</v>
      </c>
    </row>
    <row r="28" spans="1:15" ht="12" customHeight="1" x14ac:dyDescent="0.2">
      <c r="A28" s="1173" t="s">
        <v>550</v>
      </c>
      <c r="B28" s="1173" t="s">
        <v>551</v>
      </c>
      <c r="C28" s="1173" t="s">
        <v>508</v>
      </c>
      <c r="D28" s="1173" t="s">
        <v>2</v>
      </c>
      <c r="E28" s="1173" t="s">
        <v>537</v>
      </c>
      <c r="F28" s="1173" t="s">
        <v>766</v>
      </c>
      <c r="G28" s="1173" t="s">
        <v>3</v>
      </c>
      <c r="H28" s="1173" t="s">
        <v>4</v>
      </c>
      <c r="I28" s="1173" t="s">
        <v>509</v>
      </c>
      <c r="J28" s="1175" t="s">
        <v>743</v>
      </c>
      <c r="K28" s="1176"/>
      <c r="L28" s="1177"/>
      <c r="M28" s="1178" t="s">
        <v>740</v>
      </c>
      <c r="N28" s="969"/>
    </row>
    <row r="29" spans="1:15" ht="25.5" customHeight="1" x14ac:dyDescent="0.2">
      <c r="A29" s="1174"/>
      <c r="B29" s="1174"/>
      <c r="C29" s="1174"/>
      <c r="D29" s="1174"/>
      <c r="E29" s="1174"/>
      <c r="F29" s="1174"/>
      <c r="G29" s="1174"/>
      <c r="H29" s="1174"/>
      <c r="I29" s="1174"/>
      <c r="J29" s="1412" t="s">
        <v>742</v>
      </c>
      <c r="K29" s="554" t="s">
        <v>744</v>
      </c>
      <c r="L29" s="953" t="s">
        <v>741</v>
      </c>
      <c r="M29" s="1179"/>
      <c r="N29" s="969"/>
    </row>
    <row r="30" spans="1:15" ht="68.25" customHeight="1" x14ac:dyDescent="0.2">
      <c r="A30" s="1204" t="s">
        <v>738</v>
      </c>
      <c r="B30" s="1204" t="s">
        <v>556</v>
      </c>
      <c r="C30" s="1205"/>
      <c r="D30" s="1204" t="s">
        <v>557</v>
      </c>
      <c r="E30" s="1196" t="s">
        <v>512</v>
      </c>
      <c r="F30" s="1196" t="s">
        <v>513</v>
      </c>
      <c r="G30" s="564" t="s">
        <v>773</v>
      </c>
      <c r="H30" s="597" t="s">
        <v>777</v>
      </c>
      <c r="I30" s="837"/>
      <c r="J30" s="993">
        <f>788101000+30000000+27076000+89551+10076751</f>
        <v>855343302</v>
      </c>
      <c r="K30" s="994">
        <f>1741565200-441565200+441565200+161241872+588758128</f>
        <v>2491565200</v>
      </c>
      <c r="L30" s="990"/>
      <c r="M30" s="990">
        <f>+J30+K30+L30</f>
        <v>3346908502</v>
      </c>
      <c r="N30" s="599"/>
    </row>
    <row r="31" spans="1:15" ht="25.5" customHeight="1" x14ac:dyDescent="0.2">
      <c r="A31" s="1204"/>
      <c r="B31" s="1204"/>
      <c r="C31" s="1205"/>
      <c r="D31" s="1204"/>
      <c r="E31" s="1193"/>
      <c r="F31" s="1193"/>
      <c r="G31" s="1185" t="s">
        <v>24</v>
      </c>
      <c r="H31" s="1186"/>
      <c r="I31" s="1191"/>
      <c r="J31" s="1422">
        <f>+J30</f>
        <v>855343302</v>
      </c>
      <c r="K31" s="995">
        <f>+K30</f>
        <v>2491565200</v>
      </c>
      <c r="L31" s="995"/>
      <c r="M31" s="995">
        <f>+J31+K31</f>
        <v>3346908502</v>
      </c>
    </row>
    <row r="32" spans="1:15" ht="12" x14ac:dyDescent="0.2">
      <c r="A32" s="1204"/>
      <c r="B32" s="1204"/>
      <c r="C32" s="1205"/>
      <c r="D32" s="1204"/>
      <c r="E32" s="1188" t="s">
        <v>511</v>
      </c>
      <c r="F32" s="1189"/>
      <c r="G32" s="1189"/>
      <c r="H32" s="1189"/>
      <c r="I32" s="583"/>
      <c r="J32" s="1415">
        <f>+J31</f>
        <v>855343302</v>
      </c>
      <c r="K32" s="976">
        <f>+K31</f>
        <v>2491565200</v>
      </c>
      <c r="L32" s="976"/>
      <c r="M32" s="976">
        <f>+J32+K32</f>
        <v>3346908502</v>
      </c>
      <c r="N32" s="567">
        <f t="shared" ref="N32" si="2">+N31</f>
        <v>0</v>
      </c>
    </row>
    <row r="33" spans="1:17" ht="40.5" customHeight="1" x14ac:dyDescent="0.2">
      <c r="A33" s="1204"/>
      <c r="B33" s="1204"/>
      <c r="C33" s="1205"/>
      <c r="D33" s="1204"/>
      <c r="E33" s="1206" t="s">
        <v>535</v>
      </c>
      <c r="F33" s="1208" t="s">
        <v>770</v>
      </c>
      <c r="G33" s="972" t="s">
        <v>776</v>
      </c>
      <c r="H33" s="597" t="s">
        <v>777</v>
      </c>
      <c r="I33" s="579"/>
      <c r="J33" s="988">
        <f>245076000-27076000-89551</f>
        <v>217910449</v>
      </c>
      <c r="K33" s="996"/>
      <c r="L33" s="996"/>
      <c r="M33" s="997">
        <f>+J33+K33+L33</f>
        <v>217910449</v>
      </c>
    </row>
    <row r="34" spans="1:17" ht="16.5" customHeight="1" x14ac:dyDescent="0.2">
      <c r="A34" s="1204"/>
      <c r="B34" s="1204"/>
      <c r="C34" s="1205"/>
      <c r="D34" s="1204"/>
      <c r="E34" s="1206"/>
      <c r="F34" s="1209"/>
      <c r="G34" s="1185" t="s">
        <v>24</v>
      </c>
      <c r="H34" s="1186"/>
      <c r="I34" s="1191"/>
      <c r="J34" s="1422">
        <f>+J33</f>
        <v>217910449</v>
      </c>
      <c r="K34" s="995">
        <f t="shared" ref="K34:M34" si="3">+K33</f>
        <v>0</v>
      </c>
      <c r="L34" s="995">
        <f t="shared" si="3"/>
        <v>0</v>
      </c>
      <c r="M34" s="995">
        <f t="shared" si="3"/>
        <v>217910449</v>
      </c>
    </row>
    <row r="35" spans="1:17" ht="40.5" customHeight="1" x14ac:dyDescent="0.2">
      <c r="A35" s="1204"/>
      <c r="B35" s="1204"/>
      <c r="C35" s="1205"/>
      <c r="D35" s="1204"/>
      <c r="E35" s="1206"/>
      <c r="F35" s="1209"/>
      <c r="G35" s="563" t="s">
        <v>769</v>
      </c>
      <c r="H35" s="597" t="s">
        <v>777</v>
      </c>
      <c r="I35" s="579"/>
      <c r="J35" s="993">
        <f>180332000-30000000</f>
        <v>150332000</v>
      </c>
      <c r="K35" s="996"/>
      <c r="L35" s="996"/>
      <c r="M35" s="997">
        <f>SUM(J35:L35)</f>
        <v>150332000</v>
      </c>
    </row>
    <row r="36" spans="1:17" ht="15.75" customHeight="1" x14ac:dyDescent="0.2">
      <c r="A36" s="1204"/>
      <c r="B36" s="1204"/>
      <c r="C36" s="1205"/>
      <c r="D36" s="1204"/>
      <c r="E36" s="1206"/>
      <c r="F36" s="1210"/>
      <c r="G36" s="1207" t="s">
        <v>24</v>
      </c>
      <c r="H36" s="1207"/>
      <c r="I36" s="1207"/>
      <c r="J36" s="1423">
        <f>+J35</f>
        <v>150332000</v>
      </c>
      <c r="K36" s="998">
        <f>+K35</f>
        <v>0</v>
      </c>
      <c r="L36" s="998">
        <f>+L35</f>
        <v>0</v>
      </c>
      <c r="M36" s="998">
        <f>+J36+K36+L36</f>
        <v>150332000</v>
      </c>
    </row>
    <row r="37" spans="1:17" ht="23.25" customHeight="1" x14ac:dyDescent="0.2">
      <c r="A37" s="1204"/>
      <c r="B37" s="1204"/>
      <c r="C37" s="1205"/>
      <c r="D37" s="1204"/>
      <c r="E37" s="1188" t="s">
        <v>511</v>
      </c>
      <c r="F37" s="1189"/>
      <c r="G37" s="1189"/>
      <c r="H37" s="1189"/>
      <c r="I37" s="581"/>
      <c r="J37" s="1415">
        <f>+J36+J34</f>
        <v>368242449</v>
      </c>
      <c r="K37" s="976">
        <f t="shared" ref="K37:L37" si="4">+K36</f>
        <v>0</v>
      </c>
      <c r="L37" s="976">
        <f t="shared" si="4"/>
        <v>0</v>
      </c>
      <c r="M37" s="976">
        <f>M34+M36</f>
        <v>368242449</v>
      </c>
    </row>
    <row r="38" spans="1:17" ht="54.75" customHeight="1" x14ac:dyDescent="0.2">
      <c r="A38" s="1204"/>
      <c r="B38" s="1204"/>
      <c r="C38" s="1204"/>
      <c r="D38" s="1204"/>
      <c r="E38" s="1196" t="s">
        <v>540</v>
      </c>
      <c r="F38" s="1206" t="s">
        <v>540</v>
      </c>
      <c r="G38" s="597" t="s">
        <v>763</v>
      </c>
      <c r="H38" s="597" t="s">
        <v>777</v>
      </c>
      <c r="I38" s="584"/>
      <c r="J38" s="1420">
        <f>467089000-10076751</f>
        <v>457012249</v>
      </c>
      <c r="K38" s="999"/>
      <c r="L38" s="999"/>
      <c r="M38" s="990">
        <f>+J38+K38+L38</f>
        <v>457012249</v>
      </c>
    </row>
    <row r="39" spans="1:17" ht="21.75" customHeight="1" x14ac:dyDescent="0.2">
      <c r="A39" s="1204"/>
      <c r="B39" s="1204"/>
      <c r="C39" s="1204"/>
      <c r="D39" s="1204"/>
      <c r="E39" s="1193"/>
      <c r="F39" s="1206"/>
      <c r="G39" s="1191" t="s">
        <v>510</v>
      </c>
      <c r="H39" s="1207"/>
      <c r="I39" s="1207"/>
      <c r="J39" s="1417">
        <f>+J38</f>
        <v>457012249</v>
      </c>
      <c r="K39" s="981">
        <f t="shared" ref="K39" si="5">+K38</f>
        <v>0</v>
      </c>
      <c r="L39" s="981"/>
      <c r="M39" s="981">
        <f>+J39+K39</f>
        <v>457012249</v>
      </c>
    </row>
    <row r="40" spans="1:17" ht="18" customHeight="1" x14ac:dyDescent="0.2">
      <c r="A40" s="1184"/>
      <c r="B40" s="1184"/>
      <c r="C40" s="1184"/>
      <c r="D40" s="1184"/>
      <c r="E40" s="1200" t="s">
        <v>511</v>
      </c>
      <c r="F40" s="1201"/>
      <c r="G40" s="1201"/>
      <c r="H40" s="1201"/>
      <c r="I40" s="1202"/>
      <c r="J40" s="991">
        <f>+J39</f>
        <v>457012249</v>
      </c>
      <c r="K40" s="991">
        <f>+K39</f>
        <v>0</v>
      </c>
      <c r="L40" s="991"/>
      <c r="M40" s="991">
        <f>+J40+K40</f>
        <v>457012249</v>
      </c>
    </row>
    <row r="41" spans="1:17" ht="26.25" customHeight="1" x14ac:dyDescent="0.2">
      <c r="A41" s="1216" t="s">
        <v>523</v>
      </c>
      <c r="B41" s="1216"/>
      <c r="C41" s="1216"/>
      <c r="D41" s="1216"/>
      <c r="E41" s="1216"/>
      <c r="F41" s="1216"/>
      <c r="G41" s="1216"/>
      <c r="H41" s="1216"/>
      <c r="I41" s="1216"/>
      <c r="J41" s="1000">
        <f>+J32+J37+J40</f>
        <v>1680598000</v>
      </c>
      <c r="K41" s="1000">
        <f>+K32+K37+K40</f>
        <v>2491565200</v>
      </c>
      <c r="L41" s="1000"/>
      <c r="M41" s="1000">
        <f>+J41+K41</f>
        <v>4172163200</v>
      </c>
    </row>
    <row r="42" spans="1:17" ht="30.75" customHeight="1" x14ac:dyDescent="0.2">
      <c r="A42" s="1217" t="s">
        <v>514</v>
      </c>
      <c r="B42" s="1217"/>
      <c r="C42" s="1217"/>
      <c r="D42" s="1217"/>
      <c r="E42" s="1217"/>
      <c r="F42" s="1217"/>
      <c r="G42" s="1217"/>
      <c r="H42" s="1217"/>
      <c r="I42" s="1217"/>
      <c r="J42" s="1001">
        <f>+J27+J41</f>
        <v>3007000000</v>
      </c>
      <c r="K42" s="1001">
        <f>+K27+K41</f>
        <v>3388758128</v>
      </c>
      <c r="L42" s="1001"/>
      <c r="M42" s="1001">
        <f>+M27+M41</f>
        <v>6395758128</v>
      </c>
      <c r="N42" s="545">
        <f t="shared" ref="N42" si="6">+N41</f>
        <v>0</v>
      </c>
      <c r="P42" s="557"/>
      <c r="Q42" s="557"/>
    </row>
    <row r="43" spans="1:17" ht="19.5" customHeight="1" x14ac:dyDescent="0.2">
      <c r="A43" s="1218" t="s">
        <v>528</v>
      </c>
      <c r="B43" s="1218"/>
      <c r="C43" s="1218"/>
      <c r="D43" s="1219" t="s">
        <v>505</v>
      </c>
      <c r="E43" s="1220"/>
      <c r="F43" s="1220"/>
      <c r="G43" s="1220"/>
      <c r="H43" s="1220"/>
      <c r="I43" s="1220"/>
      <c r="J43" s="1220"/>
      <c r="K43" s="968" t="s">
        <v>501</v>
      </c>
      <c r="L43" s="968"/>
      <c r="M43" s="968"/>
      <c r="N43" s="598"/>
    </row>
    <row r="44" spans="1:17" ht="16.5" customHeight="1" x14ac:dyDescent="0.2">
      <c r="A44" s="1212" t="s">
        <v>559</v>
      </c>
      <c r="B44" s="1212"/>
      <c r="C44" s="1212"/>
      <c r="D44" s="1213" t="s">
        <v>502</v>
      </c>
      <c r="E44" s="1214"/>
      <c r="F44" s="1214"/>
      <c r="G44" s="1214"/>
      <c r="H44" s="1214"/>
      <c r="I44" s="1214"/>
      <c r="J44" s="1214"/>
      <c r="K44" s="1211" t="s">
        <v>561</v>
      </c>
      <c r="L44" s="1211"/>
      <c r="M44" s="1211"/>
      <c r="N44" s="598"/>
    </row>
    <row r="45" spans="1:17" ht="16.5" customHeight="1" x14ac:dyDescent="0.2">
      <c r="A45" s="1212" t="s">
        <v>558</v>
      </c>
      <c r="B45" s="1212"/>
      <c r="C45" s="1212"/>
      <c r="D45" s="1213" t="s">
        <v>503</v>
      </c>
      <c r="E45" s="1214"/>
      <c r="F45" s="1214"/>
      <c r="G45" s="1214"/>
      <c r="H45" s="1214"/>
      <c r="I45" s="1214"/>
      <c r="J45" s="1214"/>
      <c r="K45" s="550" t="s">
        <v>560</v>
      </c>
      <c r="L45" s="550"/>
      <c r="M45" s="550"/>
      <c r="N45" s="598"/>
      <c r="P45" s="557"/>
    </row>
    <row r="46" spans="1:17" ht="17.25" customHeight="1" x14ac:dyDescent="0.2">
      <c r="A46" s="1212" t="s">
        <v>527</v>
      </c>
      <c r="B46" s="1212"/>
      <c r="C46" s="1212"/>
      <c r="D46" s="1213" t="s">
        <v>504</v>
      </c>
      <c r="E46" s="1214"/>
      <c r="F46" s="1214"/>
      <c r="G46" s="1214"/>
      <c r="H46" s="1214"/>
      <c r="I46" s="1214"/>
      <c r="J46" s="1214"/>
      <c r="K46" s="1215" t="s">
        <v>531</v>
      </c>
      <c r="L46" s="1215"/>
      <c r="M46" s="1215"/>
      <c r="N46" s="598"/>
    </row>
    <row r="47" spans="1:17" ht="17.25" customHeight="1" x14ac:dyDescent="0.2">
      <c r="A47" s="1173" t="s">
        <v>550</v>
      </c>
      <c r="B47" s="1173" t="s">
        <v>551</v>
      </c>
      <c r="C47" s="1173" t="s">
        <v>508</v>
      </c>
      <c r="D47" s="1173" t="s">
        <v>2</v>
      </c>
      <c r="E47" s="1173" t="s">
        <v>537</v>
      </c>
      <c r="F47" s="1173" t="s">
        <v>766</v>
      </c>
      <c r="G47" s="1173" t="s">
        <v>3</v>
      </c>
      <c r="H47" s="1173" t="s">
        <v>4</v>
      </c>
      <c r="I47" s="1173" t="s">
        <v>509</v>
      </c>
      <c r="J47" s="1175" t="s">
        <v>743</v>
      </c>
      <c r="K47" s="1176"/>
      <c r="L47" s="1177"/>
      <c r="M47" s="1178" t="s">
        <v>740</v>
      </c>
      <c r="N47" s="598"/>
    </row>
    <row r="48" spans="1:17" ht="17.25" customHeight="1" x14ac:dyDescent="0.2">
      <c r="A48" s="1174"/>
      <c r="B48" s="1174"/>
      <c r="C48" s="1174"/>
      <c r="D48" s="1174"/>
      <c r="E48" s="1174"/>
      <c r="F48" s="1174"/>
      <c r="G48" s="1174"/>
      <c r="H48" s="1174"/>
      <c r="I48" s="1174"/>
      <c r="J48" s="1412" t="s">
        <v>742</v>
      </c>
      <c r="K48" s="554" t="s">
        <v>744</v>
      </c>
      <c r="L48" s="953" t="s">
        <v>741</v>
      </c>
      <c r="M48" s="1179"/>
      <c r="N48" s="598"/>
    </row>
    <row r="49" spans="1:15" ht="87" customHeight="1" x14ac:dyDescent="0.2">
      <c r="A49" s="1221" t="s">
        <v>525</v>
      </c>
      <c r="B49" s="1221" t="s">
        <v>781</v>
      </c>
      <c r="C49" s="1221" t="s">
        <v>547</v>
      </c>
      <c r="D49" s="1224" t="s">
        <v>562</v>
      </c>
      <c r="E49" s="1227" t="s">
        <v>779</v>
      </c>
      <c r="F49" s="1235" t="s">
        <v>778</v>
      </c>
      <c r="G49" s="562" t="s">
        <v>780</v>
      </c>
      <c r="H49" s="967" t="s">
        <v>542</v>
      </c>
      <c r="I49" s="549"/>
      <c r="J49" s="1424">
        <v>692904000</v>
      </c>
      <c r="K49" s="1002"/>
      <c r="L49" s="1002">
        <v>9725000</v>
      </c>
      <c r="M49" s="1002">
        <f>SUM(J49:L49)</f>
        <v>702629000</v>
      </c>
    </row>
    <row r="50" spans="1:15" ht="22.5" customHeight="1" x14ac:dyDescent="0.2">
      <c r="A50" s="1222"/>
      <c r="B50" s="1222"/>
      <c r="C50" s="1222"/>
      <c r="D50" s="1225"/>
      <c r="E50" s="1228"/>
      <c r="F50" s="1236"/>
      <c r="G50" s="1237" t="s">
        <v>510</v>
      </c>
      <c r="H50" s="1237"/>
      <c r="I50" s="1237"/>
      <c r="J50" s="1425">
        <f t="shared" ref="J50:L52" si="7">+J49</f>
        <v>692904000</v>
      </c>
      <c r="K50" s="1003">
        <f t="shared" si="7"/>
        <v>0</v>
      </c>
      <c r="L50" s="1003">
        <f t="shared" si="7"/>
        <v>9725000</v>
      </c>
      <c r="M50" s="1003">
        <f>+J50+K50+L50</f>
        <v>702629000</v>
      </c>
      <c r="N50" s="601"/>
    </row>
    <row r="51" spans="1:15" ht="15" customHeight="1" x14ac:dyDescent="0.2">
      <c r="A51" s="1223"/>
      <c r="B51" s="1223"/>
      <c r="C51" s="1223"/>
      <c r="D51" s="1226"/>
      <c r="E51" s="1229"/>
      <c r="F51" s="1238" t="s">
        <v>507</v>
      </c>
      <c r="G51" s="1239"/>
      <c r="H51" s="1239"/>
      <c r="I51" s="1240"/>
      <c r="J51" s="1426">
        <f t="shared" si="7"/>
        <v>692904000</v>
      </c>
      <c r="K51" s="1004">
        <f t="shared" si="7"/>
        <v>0</v>
      </c>
      <c r="L51" s="1004">
        <f t="shared" si="7"/>
        <v>9725000</v>
      </c>
      <c r="M51" s="1004">
        <f>+J51+L51</f>
        <v>702629000</v>
      </c>
    </row>
    <row r="52" spans="1:15" ht="16.5" customHeight="1" x14ac:dyDescent="0.2">
      <c r="A52" s="1241" t="s">
        <v>515</v>
      </c>
      <c r="B52" s="1242"/>
      <c r="C52" s="1242"/>
      <c r="D52" s="1242"/>
      <c r="E52" s="1242"/>
      <c r="F52" s="1242"/>
      <c r="G52" s="1242"/>
      <c r="H52" s="1243"/>
      <c r="I52" s="588"/>
      <c r="J52" s="1427">
        <f t="shared" si="7"/>
        <v>692904000</v>
      </c>
      <c r="K52" s="1005">
        <f t="shared" si="7"/>
        <v>0</v>
      </c>
      <c r="L52" s="1005">
        <f t="shared" si="7"/>
        <v>9725000</v>
      </c>
      <c r="M52" s="1005">
        <f>+J52+K52+L52</f>
        <v>702629000</v>
      </c>
    </row>
    <row r="53" spans="1:15" ht="21.75" customHeight="1" x14ac:dyDescent="0.2">
      <c r="A53" s="1244" t="s">
        <v>767</v>
      </c>
      <c r="B53" s="1244"/>
      <c r="C53" s="1244"/>
      <c r="D53" s="1244"/>
      <c r="E53" s="1244"/>
      <c r="F53" s="1244"/>
      <c r="G53" s="1244"/>
      <c r="H53" s="1244"/>
      <c r="I53" s="591"/>
      <c r="J53" s="1428">
        <f>+J42+J52</f>
        <v>3699904000</v>
      </c>
      <c r="K53" s="1006">
        <f>+K42+K52</f>
        <v>3388758128</v>
      </c>
      <c r="L53" s="1006">
        <f>+L42+L52</f>
        <v>9725000</v>
      </c>
      <c r="M53" s="1006">
        <f>+J53+K53+L53</f>
        <v>7098387128</v>
      </c>
      <c r="O53" s="557"/>
    </row>
    <row r="54" spans="1:15" ht="11.25" customHeight="1" x14ac:dyDescent="0.25">
      <c r="A54" s="558"/>
      <c r="B54" s="558"/>
      <c r="C54" s="558"/>
      <c r="D54" s="558"/>
      <c r="E54" s="558"/>
      <c r="F54" s="558"/>
      <c r="G54" s="558"/>
      <c r="H54" s="558"/>
      <c r="I54" s="558"/>
      <c r="J54" s="1429"/>
      <c r="K54" s="559"/>
      <c r="L54" s="558"/>
      <c r="M54" s="560"/>
    </row>
    <row r="55" spans="1:15" ht="21.75" customHeight="1" x14ac:dyDescent="0.2">
      <c r="A55" s="558"/>
      <c r="B55" s="558"/>
      <c r="C55" s="558"/>
      <c r="D55" s="558"/>
      <c r="E55" s="558"/>
      <c r="F55" s="558"/>
      <c r="G55" s="558"/>
      <c r="H55" s="558"/>
      <c r="I55" s="558"/>
      <c r="K55" s="558"/>
      <c r="L55" s="558"/>
      <c r="M55" s="559"/>
    </row>
    <row r="56" spans="1:15" x14ac:dyDescent="0.2">
      <c r="A56" s="543"/>
      <c r="B56" s="543"/>
      <c r="C56" s="543"/>
      <c r="D56" s="543"/>
      <c r="E56" s="543"/>
      <c r="F56" s="543"/>
      <c r="G56" s="543"/>
      <c r="H56" s="543"/>
      <c r="I56" s="543"/>
      <c r="J56" s="1430"/>
      <c r="K56" s="544"/>
      <c r="L56" s="544"/>
      <c r="M56" s="544"/>
    </row>
    <row r="57" spans="1:15" ht="23.25" customHeight="1" x14ac:dyDescent="0.2">
      <c r="A57" s="1230" t="s">
        <v>539</v>
      </c>
      <c r="B57" s="1230"/>
      <c r="C57" s="1230"/>
      <c r="D57" s="1230"/>
      <c r="E57" s="823"/>
      <c r="F57" s="1230" t="s">
        <v>782</v>
      </c>
      <c r="G57" s="1230"/>
      <c r="H57" s="1231" t="s">
        <v>532</v>
      </c>
      <c r="I57" s="1231"/>
      <c r="J57" s="1231"/>
      <c r="K57" s="1231"/>
      <c r="L57" s="1231"/>
      <c r="M57" s="1231"/>
    </row>
    <row r="58" spans="1:15" ht="12" x14ac:dyDescent="0.2">
      <c r="A58" s="1232" t="s">
        <v>14</v>
      </c>
      <c r="B58" s="1232"/>
      <c r="C58" s="1232"/>
      <c r="D58" s="1232"/>
      <c r="E58" s="966"/>
      <c r="F58" s="1233" t="s">
        <v>783</v>
      </c>
      <c r="G58" s="1233"/>
      <c r="H58" s="1234" t="s">
        <v>533</v>
      </c>
      <c r="I58" s="1234"/>
      <c r="J58" s="1234"/>
      <c r="K58" s="1234"/>
      <c r="L58" s="1234"/>
      <c r="M58" s="1234"/>
    </row>
  </sheetData>
  <mergeCells count="115">
    <mergeCell ref="A57:D57"/>
    <mergeCell ref="F57:G57"/>
    <mergeCell ref="H57:M57"/>
    <mergeCell ref="A58:D58"/>
    <mergeCell ref="F58:G58"/>
    <mergeCell ref="H58:M58"/>
    <mergeCell ref="F49:F50"/>
    <mergeCell ref="G50:I50"/>
    <mergeCell ref="F51:I51"/>
    <mergeCell ref="A52:H52"/>
    <mergeCell ref="A53:H53"/>
    <mergeCell ref="G47:G48"/>
    <mergeCell ref="H47:H48"/>
    <mergeCell ref="I47:I48"/>
    <mergeCell ref="J47:L47"/>
    <mergeCell ref="M47:M48"/>
    <mergeCell ref="A49:A51"/>
    <mergeCell ref="B49:B51"/>
    <mergeCell ref="C49:C51"/>
    <mergeCell ref="D49:D51"/>
    <mergeCell ref="E49:E51"/>
    <mergeCell ref="A47:A48"/>
    <mergeCell ref="B47:B48"/>
    <mergeCell ref="C47:C48"/>
    <mergeCell ref="D47:D48"/>
    <mergeCell ref="E47:E48"/>
    <mergeCell ref="F47:F48"/>
    <mergeCell ref="E32:H32"/>
    <mergeCell ref="E33:E36"/>
    <mergeCell ref="F33:F36"/>
    <mergeCell ref="G34:I34"/>
    <mergeCell ref="G36:I36"/>
    <mergeCell ref="K44:M44"/>
    <mergeCell ref="A45:C45"/>
    <mergeCell ref="D45:J45"/>
    <mergeCell ref="A46:C46"/>
    <mergeCell ref="D46:J46"/>
    <mergeCell ref="K46:M46"/>
    <mergeCell ref="A41:I41"/>
    <mergeCell ref="A42:I42"/>
    <mergeCell ref="A43:C43"/>
    <mergeCell ref="D43:J43"/>
    <mergeCell ref="A44:C44"/>
    <mergeCell ref="D44:J44"/>
    <mergeCell ref="G28:G29"/>
    <mergeCell ref="H28:H29"/>
    <mergeCell ref="I28:I29"/>
    <mergeCell ref="J28:L28"/>
    <mergeCell ref="M28:M29"/>
    <mergeCell ref="A30:A40"/>
    <mergeCell ref="B30:B40"/>
    <mergeCell ref="C30:C37"/>
    <mergeCell ref="D30:D40"/>
    <mergeCell ref="E30:E31"/>
    <mergeCell ref="A28:A29"/>
    <mergeCell ref="B28:B29"/>
    <mergeCell ref="C28:C29"/>
    <mergeCell ref="D28:D29"/>
    <mergeCell ref="E28:E29"/>
    <mergeCell ref="F28:F29"/>
    <mergeCell ref="E37:H37"/>
    <mergeCell ref="C38:C40"/>
    <mergeCell ref="E38:E39"/>
    <mergeCell ref="F38:F39"/>
    <mergeCell ref="G39:I39"/>
    <mergeCell ref="E40:I40"/>
    <mergeCell ref="F30:F31"/>
    <mergeCell ref="G31:I31"/>
    <mergeCell ref="A27:I27"/>
    <mergeCell ref="F14:F15"/>
    <mergeCell ref="G15:I15"/>
    <mergeCell ref="E16:I16"/>
    <mergeCell ref="G18:I18"/>
    <mergeCell ref="G20:I20"/>
    <mergeCell ref="G22:I22"/>
    <mergeCell ref="A14:A26"/>
    <mergeCell ref="B14:B26"/>
    <mergeCell ref="C14:C23"/>
    <mergeCell ref="D14:D26"/>
    <mergeCell ref="E14:E15"/>
    <mergeCell ref="E23:I23"/>
    <mergeCell ref="C24:C26"/>
    <mergeCell ref="E24:E25"/>
    <mergeCell ref="G25:I25"/>
    <mergeCell ref="E26:I26"/>
    <mergeCell ref="F17:F22"/>
    <mergeCell ref="E17:E22"/>
    <mergeCell ref="A9:C9"/>
    <mergeCell ref="D9:M9"/>
    <mergeCell ref="A10:C10"/>
    <mergeCell ref="D10:M10"/>
    <mergeCell ref="A12:A13"/>
    <mergeCell ref="B12:B13"/>
    <mergeCell ref="C12:C13"/>
    <mergeCell ref="D12:D13"/>
    <mergeCell ref="E12:E13"/>
    <mergeCell ref="F12:F13"/>
    <mergeCell ref="G12:G13"/>
    <mergeCell ref="H12:H13"/>
    <mergeCell ref="I12:I13"/>
    <mergeCell ref="J12:L12"/>
    <mergeCell ref="M12:M13"/>
    <mergeCell ref="A6:C6"/>
    <mergeCell ref="D6:M6"/>
    <mergeCell ref="A7:C7"/>
    <mergeCell ref="D7:M7"/>
    <mergeCell ref="A8:C8"/>
    <mergeCell ref="D8:M8"/>
    <mergeCell ref="F1:K4"/>
    <mergeCell ref="L1:M1"/>
    <mergeCell ref="L2:M2"/>
    <mergeCell ref="L3:M3"/>
    <mergeCell ref="L4:M4"/>
    <mergeCell ref="A5:C5"/>
    <mergeCell ref="D5:M5"/>
  </mergeCells>
  <pageMargins left="0.98425196850393704" right="0.98425196850393704" top="0.98425196850393704" bottom="0.98425196850393704" header="0.51181102362204722" footer="0.51181102362204722"/>
  <pageSetup paperSize="41" scale="74" orientation="landscape" r:id="rId1"/>
  <headerFooter>
    <oddFooter>&amp;L&amp;9Elaboró: Oficina Asesora de Planeación&amp;C&amp;9&amp;PSe aprueba el Plan de Acción 2019 de acuerdo al Acta de Comite Institucional de Gestión y Desempeño  No. 13  de 2019&amp;RVersión 6</oddFooter>
  </headerFooter>
  <rowBreaks count="2" manualBreakCount="2">
    <brk id="27" max="12" man="1"/>
    <brk id="42" max="12" man="1"/>
  </rowBreaks>
  <colBreaks count="1" manualBreakCount="1">
    <brk id="13" max="5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8"/>
  <sheetViews>
    <sheetView zoomScale="77" zoomScaleNormal="77" workbookViewId="0">
      <selection activeCell="F16" sqref="F16"/>
    </sheetView>
  </sheetViews>
  <sheetFormatPr baseColWidth="10" defaultRowHeight="12" x14ac:dyDescent="0.2"/>
  <cols>
    <col min="1" max="1" width="4.7109375" style="619" customWidth="1"/>
    <col min="2" max="2" width="5.42578125" style="619" customWidth="1"/>
    <col min="3" max="3" width="5.5703125" style="619" customWidth="1"/>
    <col min="4" max="4" width="7.28515625" style="619" customWidth="1"/>
    <col min="5" max="5" width="10.7109375" style="619" customWidth="1"/>
    <col min="6" max="6" width="31" style="821" customWidth="1"/>
    <col min="7" max="7" width="6.28515625" style="821" customWidth="1"/>
    <col min="8" max="8" width="16.5703125" style="821" hidden="1" customWidth="1"/>
    <col min="9" max="9" width="33" style="813" customWidth="1"/>
    <col min="10" max="10" width="9.5703125" style="619" customWidth="1"/>
    <col min="11" max="11" width="15" style="619" customWidth="1"/>
    <col min="12" max="12" width="8.140625" style="619" customWidth="1"/>
    <col min="13" max="13" width="33.7109375" style="619" bestFit="1" customWidth="1"/>
    <col min="14" max="14" width="7" style="619" customWidth="1"/>
    <col min="15" max="15" width="5.42578125" style="619" customWidth="1"/>
    <col min="16" max="16" width="9.42578125" style="619" customWidth="1"/>
    <col min="17" max="17" width="0.140625" style="619" customWidth="1"/>
    <col min="18" max="18" width="19.5703125" style="619" customWidth="1"/>
    <col min="19" max="19" width="17.28515625" style="619" customWidth="1"/>
    <col min="20" max="20" width="17.5703125" style="619" customWidth="1"/>
    <col min="21" max="21" width="7.7109375" style="619" hidden="1" customWidth="1"/>
    <col min="22" max="22" width="0.140625" style="619" customWidth="1"/>
    <col min="23" max="23" width="16.42578125" style="619" hidden="1" customWidth="1"/>
    <col min="24" max="24" width="17.28515625" style="619" hidden="1" customWidth="1"/>
    <col min="25" max="25" width="12.5703125" style="620" hidden="1" customWidth="1"/>
    <col min="26" max="26" width="11" style="619" hidden="1" customWidth="1"/>
    <col min="27" max="27" width="37.85546875" style="619" hidden="1" customWidth="1"/>
    <col min="28" max="28" width="16.140625" style="619" hidden="1" customWidth="1"/>
    <col min="29" max="29" width="16.5703125" style="619" hidden="1" customWidth="1"/>
    <col min="30" max="30" width="14.140625" style="619" hidden="1" customWidth="1"/>
    <col min="31" max="31" width="15.42578125" style="619" bestFit="1" customWidth="1"/>
    <col min="32" max="32" width="12" style="619" bestFit="1" customWidth="1"/>
    <col min="33" max="229" width="11.42578125" style="619"/>
    <col min="230" max="230" width="1.42578125" style="619" customWidth="1"/>
    <col min="231" max="231" width="7.5703125" style="619" customWidth="1"/>
    <col min="232" max="232" width="4.85546875" style="619" customWidth="1"/>
    <col min="233" max="233" width="8" style="619" customWidth="1"/>
    <col min="234" max="234" width="8.140625" style="619" customWidth="1"/>
    <col min="235" max="235" width="7.28515625" style="619" customWidth="1"/>
    <col min="236" max="236" width="20.7109375" style="619" customWidth="1"/>
    <col min="237" max="237" width="15" style="619" customWidth="1"/>
    <col min="238" max="238" width="0.140625" style="619" customWidth="1"/>
    <col min="239" max="239" width="0" style="619" hidden="1" customWidth="1"/>
    <col min="240" max="240" width="78.85546875" style="619" customWidth="1"/>
    <col min="241" max="241" width="14.140625" style="619" customWidth="1"/>
    <col min="242" max="242" width="0.28515625" style="619" customWidth="1"/>
    <col min="243" max="243" width="11.7109375" style="619" customWidth="1"/>
    <col min="244" max="244" width="8.7109375" style="619" customWidth="1"/>
    <col min="245" max="245" width="0" style="619" hidden="1" customWidth="1"/>
    <col min="246" max="246" width="11.42578125" style="619" customWidth="1"/>
    <col min="247" max="249" width="0" style="619" hidden="1" customWidth="1"/>
    <col min="250" max="250" width="19" style="619" customWidth="1"/>
    <col min="251" max="251" width="17.28515625" style="619" customWidth="1"/>
    <col min="252" max="252" width="19.7109375" style="619" customWidth="1"/>
    <col min="253" max="253" width="20.7109375" style="619" customWidth="1"/>
    <col min="254" max="254" width="13.140625" style="619" bestFit="1" customWidth="1"/>
    <col min="255" max="255" width="21.5703125" style="619" customWidth="1"/>
    <col min="256" max="256" width="16" style="619" bestFit="1" customWidth="1"/>
    <col min="257" max="257" width="13.140625" style="619" bestFit="1" customWidth="1"/>
    <col min="258" max="258" width="38.28515625" style="619" bestFit="1" customWidth="1"/>
    <col min="259" max="259" width="1.28515625" style="619" customWidth="1"/>
    <col min="260" max="260" width="0" style="619" hidden="1" customWidth="1"/>
    <col min="261" max="485" width="11.42578125" style="619"/>
    <col min="486" max="486" width="1.42578125" style="619" customWidth="1"/>
    <col min="487" max="487" width="7.5703125" style="619" customWidth="1"/>
    <col min="488" max="488" width="4.85546875" style="619" customWidth="1"/>
    <col min="489" max="489" width="8" style="619" customWidth="1"/>
    <col min="490" max="490" width="8.140625" style="619" customWidth="1"/>
    <col min="491" max="491" width="7.28515625" style="619" customWidth="1"/>
    <col min="492" max="492" width="20.7109375" style="619" customWidth="1"/>
    <col min="493" max="493" width="15" style="619" customWidth="1"/>
    <col min="494" max="494" width="0.140625" style="619" customWidth="1"/>
    <col min="495" max="495" width="0" style="619" hidden="1" customWidth="1"/>
    <col min="496" max="496" width="78.85546875" style="619" customWidth="1"/>
    <col min="497" max="497" width="14.140625" style="619" customWidth="1"/>
    <col min="498" max="498" width="0.28515625" style="619" customWidth="1"/>
    <col min="499" max="499" width="11.7109375" style="619" customWidth="1"/>
    <col min="500" max="500" width="8.7109375" style="619" customWidth="1"/>
    <col min="501" max="501" width="0" style="619" hidden="1" customWidth="1"/>
    <col min="502" max="502" width="11.42578125" style="619" customWidth="1"/>
    <col min="503" max="505" width="0" style="619" hidden="1" customWidth="1"/>
    <col min="506" max="506" width="19" style="619" customWidth="1"/>
    <col min="507" max="507" width="17.28515625" style="619" customWidth="1"/>
    <col min="508" max="508" width="19.7109375" style="619" customWidth="1"/>
    <col min="509" max="509" width="20.7109375" style="619" customWidth="1"/>
    <col min="510" max="510" width="13.140625" style="619" bestFit="1" customWidth="1"/>
    <col min="511" max="511" width="21.5703125" style="619" customWidth="1"/>
    <col min="512" max="512" width="16" style="619" bestFit="1" customWidth="1"/>
    <col min="513" max="513" width="13.140625" style="619" bestFit="1" customWidth="1"/>
    <col min="514" max="514" width="38.28515625" style="619" bestFit="1" customWidth="1"/>
    <col min="515" max="515" width="1.28515625" style="619" customWidth="1"/>
    <col min="516" max="516" width="0" style="619" hidden="1" customWidth="1"/>
    <col min="517" max="741" width="11.42578125" style="619"/>
    <col min="742" max="742" width="1.42578125" style="619" customWidth="1"/>
    <col min="743" max="743" width="7.5703125" style="619" customWidth="1"/>
    <col min="744" max="744" width="4.85546875" style="619" customWidth="1"/>
    <col min="745" max="745" width="8" style="619" customWidth="1"/>
    <col min="746" max="746" width="8.140625" style="619" customWidth="1"/>
    <col min="747" max="747" width="7.28515625" style="619" customWidth="1"/>
    <col min="748" max="748" width="20.7109375" style="619" customWidth="1"/>
    <col min="749" max="749" width="15" style="619" customWidth="1"/>
    <col min="750" max="750" width="0.140625" style="619" customWidth="1"/>
    <col min="751" max="751" width="0" style="619" hidden="1" customWidth="1"/>
    <col min="752" max="752" width="78.85546875" style="619" customWidth="1"/>
    <col min="753" max="753" width="14.140625" style="619" customWidth="1"/>
    <col min="754" max="754" width="0.28515625" style="619" customWidth="1"/>
    <col min="755" max="755" width="11.7109375" style="619" customWidth="1"/>
    <col min="756" max="756" width="8.7109375" style="619" customWidth="1"/>
    <col min="757" max="757" width="0" style="619" hidden="1" customWidth="1"/>
    <col min="758" max="758" width="11.42578125" style="619" customWidth="1"/>
    <col min="759" max="761" width="0" style="619" hidden="1" customWidth="1"/>
    <col min="762" max="762" width="19" style="619" customWidth="1"/>
    <col min="763" max="763" width="17.28515625" style="619" customWidth="1"/>
    <col min="764" max="764" width="19.7109375" style="619" customWidth="1"/>
    <col min="765" max="765" width="20.7109375" style="619" customWidth="1"/>
    <col min="766" max="766" width="13.140625" style="619" bestFit="1" customWidth="1"/>
    <col min="767" max="767" width="21.5703125" style="619" customWidth="1"/>
    <col min="768" max="768" width="16" style="619" bestFit="1" customWidth="1"/>
    <col min="769" max="769" width="13.140625" style="619" bestFit="1" customWidth="1"/>
    <col min="770" max="770" width="38.28515625" style="619" bestFit="1" customWidth="1"/>
    <col min="771" max="771" width="1.28515625" style="619" customWidth="1"/>
    <col min="772" max="772" width="0" style="619" hidden="1" customWidth="1"/>
    <col min="773" max="997" width="11.42578125" style="619"/>
    <col min="998" max="998" width="1.42578125" style="619" customWidth="1"/>
    <col min="999" max="999" width="7.5703125" style="619" customWidth="1"/>
    <col min="1000" max="1000" width="4.85546875" style="619" customWidth="1"/>
    <col min="1001" max="1001" width="8" style="619" customWidth="1"/>
    <col min="1002" max="1002" width="8.140625" style="619" customWidth="1"/>
    <col min="1003" max="1003" width="7.28515625" style="619" customWidth="1"/>
    <col min="1004" max="1004" width="20.7109375" style="619" customWidth="1"/>
    <col min="1005" max="1005" width="15" style="619" customWidth="1"/>
    <col min="1006" max="1006" width="0.140625" style="619" customWidth="1"/>
    <col min="1007" max="1007" width="0" style="619" hidden="1" customWidth="1"/>
    <col min="1008" max="1008" width="78.85546875" style="619" customWidth="1"/>
    <col min="1009" max="1009" width="14.140625" style="619" customWidth="1"/>
    <col min="1010" max="1010" width="0.28515625" style="619" customWidth="1"/>
    <col min="1011" max="1011" width="11.7109375" style="619" customWidth="1"/>
    <col min="1012" max="1012" width="8.7109375" style="619" customWidth="1"/>
    <col min="1013" max="1013" width="0" style="619" hidden="1" customWidth="1"/>
    <col min="1014" max="1014" width="11.42578125" style="619" customWidth="1"/>
    <col min="1015" max="1017" width="0" style="619" hidden="1" customWidth="1"/>
    <col min="1018" max="1018" width="19" style="619" customWidth="1"/>
    <col min="1019" max="1019" width="17.28515625" style="619" customWidth="1"/>
    <col min="1020" max="1020" width="19.7109375" style="619" customWidth="1"/>
    <col min="1021" max="1021" width="20.7109375" style="619" customWidth="1"/>
    <col min="1022" max="1022" width="13.140625" style="619" bestFit="1" customWidth="1"/>
    <col min="1023" max="1023" width="21.5703125" style="619" customWidth="1"/>
    <col min="1024" max="1024" width="16" style="619" bestFit="1" customWidth="1"/>
    <col min="1025" max="1025" width="13.140625" style="619" bestFit="1" customWidth="1"/>
    <col min="1026" max="1026" width="38.28515625" style="619" bestFit="1" customWidth="1"/>
    <col min="1027" max="1027" width="1.28515625" style="619" customWidth="1"/>
    <col min="1028" max="1028" width="0" style="619" hidden="1" customWidth="1"/>
    <col min="1029" max="1253" width="11.42578125" style="619"/>
    <col min="1254" max="1254" width="1.42578125" style="619" customWidth="1"/>
    <col min="1255" max="1255" width="7.5703125" style="619" customWidth="1"/>
    <col min="1256" max="1256" width="4.85546875" style="619" customWidth="1"/>
    <col min="1257" max="1257" width="8" style="619" customWidth="1"/>
    <col min="1258" max="1258" width="8.140625" style="619" customWidth="1"/>
    <col min="1259" max="1259" width="7.28515625" style="619" customWidth="1"/>
    <col min="1260" max="1260" width="20.7109375" style="619" customWidth="1"/>
    <col min="1261" max="1261" width="15" style="619" customWidth="1"/>
    <col min="1262" max="1262" width="0.140625" style="619" customWidth="1"/>
    <col min="1263" max="1263" width="0" style="619" hidden="1" customWidth="1"/>
    <col min="1264" max="1264" width="78.85546875" style="619" customWidth="1"/>
    <col min="1265" max="1265" width="14.140625" style="619" customWidth="1"/>
    <col min="1266" max="1266" width="0.28515625" style="619" customWidth="1"/>
    <col min="1267" max="1267" width="11.7109375" style="619" customWidth="1"/>
    <col min="1268" max="1268" width="8.7109375" style="619" customWidth="1"/>
    <col min="1269" max="1269" width="0" style="619" hidden="1" customWidth="1"/>
    <col min="1270" max="1270" width="11.42578125" style="619" customWidth="1"/>
    <col min="1271" max="1273" width="0" style="619" hidden="1" customWidth="1"/>
    <col min="1274" max="1274" width="19" style="619" customWidth="1"/>
    <col min="1275" max="1275" width="17.28515625" style="619" customWidth="1"/>
    <col min="1276" max="1276" width="19.7109375" style="619" customWidth="1"/>
    <col min="1277" max="1277" width="20.7109375" style="619" customWidth="1"/>
    <col min="1278" max="1278" width="13.140625" style="619" bestFit="1" customWidth="1"/>
    <col min="1279" max="1279" width="21.5703125" style="619" customWidth="1"/>
    <col min="1280" max="1280" width="16" style="619" bestFit="1" customWidth="1"/>
    <col min="1281" max="1281" width="13.140625" style="619" bestFit="1" customWidth="1"/>
    <col min="1282" max="1282" width="38.28515625" style="619" bestFit="1" customWidth="1"/>
    <col min="1283" max="1283" width="1.28515625" style="619" customWidth="1"/>
    <col min="1284" max="1284" width="0" style="619" hidden="1" customWidth="1"/>
    <col min="1285" max="1509" width="11.42578125" style="619"/>
    <col min="1510" max="1510" width="1.42578125" style="619" customWidth="1"/>
    <col min="1511" max="1511" width="7.5703125" style="619" customWidth="1"/>
    <col min="1512" max="1512" width="4.85546875" style="619" customWidth="1"/>
    <col min="1513" max="1513" width="8" style="619" customWidth="1"/>
    <col min="1514" max="1514" width="8.140625" style="619" customWidth="1"/>
    <col min="1515" max="1515" width="7.28515625" style="619" customWidth="1"/>
    <col min="1516" max="1516" width="20.7109375" style="619" customWidth="1"/>
    <col min="1517" max="1517" width="15" style="619" customWidth="1"/>
    <col min="1518" max="1518" width="0.140625" style="619" customWidth="1"/>
    <col min="1519" max="1519" width="0" style="619" hidden="1" customWidth="1"/>
    <col min="1520" max="1520" width="78.85546875" style="619" customWidth="1"/>
    <col min="1521" max="1521" width="14.140625" style="619" customWidth="1"/>
    <col min="1522" max="1522" width="0.28515625" style="619" customWidth="1"/>
    <col min="1523" max="1523" width="11.7109375" style="619" customWidth="1"/>
    <col min="1524" max="1524" width="8.7109375" style="619" customWidth="1"/>
    <col min="1525" max="1525" width="0" style="619" hidden="1" customWidth="1"/>
    <col min="1526" max="1526" width="11.42578125" style="619" customWidth="1"/>
    <col min="1527" max="1529" width="0" style="619" hidden="1" customWidth="1"/>
    <col min="1530" max="1530" width="19" style="619" customWidth="1"/>
    <col min="1531" max="1531" width="17.28515625" style="619" customWidth="1"/>
    <col min="1532" max="1532" width="19.7109375" style="619" customWidth="1"/>
    <col min="1533" max="1533" width="20.7109375" style="619" customWidth="1"/>
    <col min="1534" max="1534" width="13.140625" style="619" bestFit="1" customWidth="1"/>
    <col min="1535" max="1535" width="21.5703125" style="619" customWidth="1"/>
    <col min="1536" max="1536" width="16" style="619" bestFit="1" customWidth="1"/>
    <col min="1537" max="1537" width="13.140625" style="619" bestFit="1" customWidth="1"/>
    <col min="1538" max="1538" width="38.28515625" style="619" bestFit="1" customWidth="1"/>
    <col min="1539" max="1539" width="1.28515625" style="619" customWidth="1"/>
    <col min="1540" max="1540" width="0" style="619" hidden="1" customWidth="1"/>
    <col min="1541" max="1765" width="11.42578125" style="619"/>
    <col min="1766" max="1766" width="1.42578125" style="619" customWidth="1"/>
    <col min="1767" max="1767" width="7.5703125" style="619" customWidth="1"/>
    <col min="1768" max="1768" width="4.85546875" style="619" customWidth="1"/>
    <col min="1769" max="1769" width="8" style="619" customWidth="1"/>
    <col min="1770" max="1770" width="8.140625" style="619" customWidth="1"/>
    <col min="1771" max="1771" width="7.28515625" style="619" customWidth="1"/>
    <col min="1772" max="1772" width="20.7109375" style="619" customWidth="1"/>
    <col min="1773" max="1773" width="15" style="619" customWidth="1"/>
    <col min="1774" max="1774" width="0.140625" style="619" customWidth="1"/>
    <col min="1775" max="1775" width="0" style="619" hidden="1" customWidth="1"/>
    <col min="1776" max="1776" width="78.85546875" style="619" customWidth="1"/>
    <col min="1777" max="1777" width="14.140625" style="619" customWidth="1"/>
    <col min="1778" max="1778" width="0.28515625" style="619" customWidth="1"/>
    <col min="1779" max="1779" width="11.7109375" style="619" customWidth="1"/>
    <col min="1780" max="1780" width="8.7109375" style="619" customWidth="1"/>
    <col min="1781" max="1781" width="0" style="619" hidden="1" customWidth="1"/>
    <col min="1782" max="1782" width="11.42578125" style="619" customWidth="1"/>
    <col min="1783" max="1785" width="0" style="619" hidden="1" customWidth="1"/>
    <col min="1786" max="1786" width="19" style="619" customWidth="1"/>
    <col min="1787" max="1787" width="17.28515625" style="619" customWidth="1"/>
    <col min="1788" max="1788" width="19.7109375" style="619" customWidth="1"/>
    <col min="1789" max="1789" width="20.7109375" style="619" customWidth="1"/>
    <col min="1790" max="1790" width="13.140625" style="619" bestFit="1" customWidth="1"/>
    <col min="1791" max="1791" width="21.5703125" style="619" customWidth="1"/>
    <col min="1792" max="1792" width="16" style="619" bestFit="1" customWidth="1"/>
    <col min="1793" max="1793" width="13.140625" style="619" bestFit="1" customWidth="1"/>
    <col min="1794" max="1794" width="38.28515625" style="619" bestFit="1" customWidth="1"/>
    <col min="1795" max="1795" width="1.28515625" style="619" customWidth="1"/>
    <col min="1796" max="1796" width="0" style="619" hidden="1" customWidth="1"/>
    <col min="1797" max="2021" width="11.42578125" style="619"/>
    <col min="2022" max="2022" width="1.42578125" style="619" customWidth="1"/>
    <col min="2023" max="2023" width="7.5703125" style="619" customWidth="1"/>
    <col min="2024" max="2024" width="4.85546875" style="619" customWidth="1"/>
    <col min="2025" max="2025" width="8" style="619" customWidth="1"/>
    <col min="2026" max="2026" width="8.140625" style="619" customWidth="1"/>
    <col min="2027" max="2027" width="7.28515625" style="619" customWidth="1"/>
    <col min="2028" max="2028" width="20.7109375" style="619" customWidth="1"/>
    <col min="2029" max="2029" width="15" style="619" customWidth="1"/>
    <col min="2030" max="2030" width="0.140625" style="619" customWidth="1"/>
    <col min="2031" max="2031" width="0" style="619" hidden="1" customWidth="1"/>
    <col min="2032" max="2032" width="78.85546875" style="619" customWidth="1"/>
    <col min="2033" max="2033" width="14.140625" style="619" customWidth="1"/>
    <col min="2034" max="2034" width="0.28515625" style="619" customWidth="1"/>
    <col min="2035" max="2035" width="11.7109375" style="619" customWidth="1"/>
    <col min="2036" max="2036" width="8.7109375" style="619" customWidth="1"/>
    <col min="2037" max="2037" width="0" style="619" hidden="1" customWidth="1"/>
    <col min="2038" max="2038" width="11.42578125" style="619" customWidth="1"/>
    <col min="2039" max="2041" width="0" style="619" hidden="1" customWidth="1"/>
    <col min="2042" max="2042" width="19" style="619" customWidth="1"/>
    <col min="2043" max="2043" width="17.28515625" style="619" customWidth="1"/>
    <col min="2044" max="2044" width="19.7109375" style="619" customWidth="1"/>
    <col min="2045" max="2045" width="20.7109375" style="619" customWidth="1"/>
    <col min="2046" max="2046" width="13.140625" style="619" bestFit="1" customWidth="1"/>
    <col min="2047" max="2047" width="21.5703125" style="619" customWidth="1"/>
    <col min="2048" max="2048" width="16" style="619" bestFit="1" customWidth="1"/>
    <col min="2049" max="2049" width="13.140625" style="619" bestFit="1" customWidth="1"/>
    <col min="2050" max="2050" width="38.28515625" style="619" bestFit="1" customWidth="1"/>
    <col min="2051" max="2051" width="1.28515625" style="619" customWidth="1"/>
    <col min="2052" max="2052" width="0" style="619" hidden="1" customWidth="1"/>
    <col min="2053" max="2277" width="11.42578125" style="619"/>
    <col min="2278" max="2278" width="1.42578125" style="619" customWidth="1"/>
    <col min="2279" max="2279" width="7.5703125" style="619" customWidth="1"/>
    <col min="2280" max="2280" width="4.85546875" style="619" customWidth="1"/>
    <col min="2281" max="2281" width="8" style="619" customWidth="1"/>
    <col min="2282" max="2282" width="8.140625" style="619" customWidth="1"/>
    <col min="2283" max="2283" width="7.28515625" style="619" customWidth="1"/>
    <col min="2284" max="2284" width="20.7109375" style="619" customWidth="1"/>
    <col min="2285" max="2285" width="15" style="619" customWidth="1"/>
    <col min="2286" max="2286" width="0.140625" style="619" customWidth="1"/>
    <col min="2287" max="2287" width="0" style="619" hidden="1" customWidth="1"/>
    <col min="2288" max="2288" width="78.85546875" style="619" customWidth="1"/>
    <col min="2289" max="2289" width="14.140625" style="619" customWidth="1"/>
    <col min="2290" max="2290" width="0.28515625" style="619" customWidth="1"/>
    <col min="2291" max="2291" width="11.7109375" style="619" customWidth="1"/>
    <col min="2292" max="2292" width="8.7109375" style="619" customWidth="1"/>
    <col min="2293" max="2293" width="0" style="619" hidden="1" customWidth="1"/>
    <col min="2294" max="2294" width="11.42578125" style="619" customWidth="1"/>
    <col min="2295" max="2297" width="0" style="619" hidden="1" customWidth="1"/>
    <col min="2298" max="2298" width="19" style="619" customWidth="1"/>
    <col min="2299" max="2299" width="17.28515625" style="619" customWidth="1"/>
    <col min="2300" max="2300" width="19.7109375" style="619" customWidth="1"/>
    <col min="2301" max="2301" width="20.7109375" style="619" customWidth="1"/>
    <col min="2302" max="2302" width="13.140625" style="619" bestFit="1" customWidth="1"/>
    <col min="2303" max="2303" width="21.5703125" style="619" customWidth="1"/>
    <col min="2304" max="2304" width="16" style="619" bestFit="1" customWidth="1"/>
    <col min="2305" max="2305" width="13.140625" style="619" bestFit="1" customWidth="1"/>
    <col min="2306" max="2306" width="38.28515625" style="619" bestFit="1" customWidth="1"/>
    <col min="2307" max="2307" width="1.28515625" style="619" customWidth="1"/>
    <col min="2308" max="2308" width="0" style="619" hidden="1" customWidth="1"/>
    <col min="2309" max="2533" width="11.42578125" style="619"/>
    <col min="2534" max="2534" width="1.42578125" style="619" customWidth="1"/>
    <col min="2535" max="2535" width="7.5703125" style="619" customWidth="1"/>
    <col min="2536" max="2536" width="4.85546875" style="619" customWidth="1"/>
    <col min="2537" max="2537" width="8" style="619" customWidth="1"/>
    <col min="2538" max="2538" width="8.140625" style="619" customWidth="1"/>
    <col min="2539" max="2539" width="7.28515625" style="619" customWidth="1"/>
    <col min="2540" max="2540" width="20.7109375" style="619" customWidth="1"/>
    <col min="2541" max="2541" width="15" style="619" customWidth="1"/>
    <col min="2542" max="2542" width="0.140625" style="619" customWidth="1"/>
    <col min="2543" max="2543" width="0" style="619" hidden="1" customWidth="1"/>
    <col min="2544" max="2544" width="78.85546875" style="619" customWidth="1"/>
    <col min="2545" max="2545" width="14.140625" style="619" customWidth="1"/>
    <col min="2546" max="2546" width="0.28515625" style="619" customWidth="1"/>
    <col min="2547" max="2547" width="11.7109375" style="619" customWidth="1"/>
    <col min="2548" max="2548" width="8.7109375" style="619" customWidth="1"/>
    <col min="2549" max="2549" width="0" style="619" hidden="1" customWidth="1"/>
    <col min="2550" max="2550" width="11.42578125" style="619" customWidth="1"/>
    <col min="2551" max="2553" width="0" style="619" hidden="1" customWidth="1"/>
    <col min="2554" max="2554" width="19" style="619" customWidth="1"/>
    <col min="2555" max="2555" width="17.28515625" style="619" customWidth="1"/>
    <col min="2556" max="2556" width="19.7109375" style="619" customWidth="1"/>
    <col min="2557" max="2557" width="20.7109375" style="619" customWidth="1"/>
    <col min="2558" max="2558" width="13.140625" style="619" bestFit="1" customWidth="1"/>
    <col min="2559" max="2559" width="21.5703125" style="619" customWidth="1"/>
    <col min="2560" max="2560" width="16" style="619" bestFit="1" customWidth="1"/>
    <col min="2561" max="2561" width="13.140625" style="619" bestFit="1" customWidth="1"/>
    <col min="2562" max="2562" width="38.28515625" style="619" bestFit="1" customWidth="1"/>
    <col min="2563" max="2563" width="1.28515625" style="619" customWidth="1"/>
    <col min="2564" max="2564" width="0" style="619" hidden="1" customWidth="1"/>
    <col min="2565" max="2789" width="11.42578125" style="619"/>
    <col min="2790" max="2790" width="1.42578125" style="619" customWidth="1"/>
    <col min="2791" max="2791" width="7.5703125" style="619" customWidth="1"/>
    <col min="2792" max="2792" width="4.85546875" style="619" customWidth="1"/>
    <col min="2793" max="2793" width="8" style="619" customWidth="1"/>
    <col min="2794" max="2794" width="8.140625" style="619" customWidth="1"/>
    <col min="2795" max="2795" width="7.28515625" style="619" customWidth="1"/>
    <col min="2796" max="2796" width="20.7109375" style="619" customWidth="1"/>
    <col min="2797" max="2797" width="15" style="619" customWidth="1"/>
    <col min="2798" max="2798" width="0.140625" style="619" customWidth="1"/>
    <col min="2799" max="2799" width="0" style="619" hidden="1" customWidth="1"/>
    <col min="2800" max="2800" width="78.85546875" style="619" customWidth="1"/>
    <col min="2801" max="2801" width="14.140625" style="619" customWidth="1"/>
    <col min="2802" max="2802" width="0.28515625" style="619" customWidth="1"/>
    <col min="2803" max="2803" width="11.7109375" style="619" customWidth="1"/>
    <col min="2804" max="2804" width="8.7109375" style="619" customWidth="1"/>
    <col min="2805" max="2805" width="0" style="619" hidden="1" customWidth="1"/>
    <col min="2806" max="2806" width="11.42578125" style="619" customWidth="1"/>
    <col min="2807" max="2809" width="0" style="619" hidden="1" customWidth="1"/>
    <col min="2810" max="2810" width="19" style="619" customWidth="1"/>
    <col min="2811" max="2811" width="17.28515625" style="619" customWidth="1"/>
    <col min="2812" max="2812" width="19.7109375" style="619" customWidth="1"/>
    <col min="2813" max="2813" width="20.7109375" style="619" customWidth="1"/>
    <col min="2814" max="2814" width="13.140625" style="619" bestFit="1" customWidth="1"/>
    <col min="2815" max="2815" width="21.5703125" style="619" customWidth="1"/>
    <col min="2816" max="2816" width="16" style="619" bestFit="1" customWidth="1"/>
    <col min="2817" max="2817" width="13.140625" style="619" bestFit="1" customWidth="1"/>
    <col min="2818" max="2818" width="38.28515625" style="619" bestFit="1" customWidth="1"/>
    <col min="2819" max="2819" width="1.28515625" style="619" customWidth="1"/>
    <col min="2820" max="2820" width="0" style="619" hidden="1" customWidth="1"/>
    <col min="2821" max="3045" width="11.42578125" style="619"/>
    <col min="3046" max="3046" width="1.42578125" style="619" customWidth="1"/>
    <col min="3047" max="3047" width="7.5703125" style="619" customWidth="1"/>
    <col min="3048" max="3048" width="4.85546875" style="619" customWidth="1"/>
    <col min="3049" max="3049" width="8" style="619" customWidth="1"/>
    <col min="3050" max="3050" width="8.140625" style="619" customWidth="1"/>
    <col min="3051" max="3051" width="7.28515625" style="619" customWidth="1"/>
    <col min="3052" max="3052" width="20.7109375" style="619" customWidth="1"/>
    <col min="3053" max="3053" width="15" style="619" customWidth="1"/>
    <col min="3054" max="3054" width="0.140625" style="619" customWidth="1"/>
    <col min="3055" max="3055" width="0" style="619" hidden="1" customWidth="1"/>
    <col min="3056" max="3056" width="78.85546875" style="619" customWidth="1"/>
    <col min="3057" max="3057" width="14.140625" style="619" customWidth="1"/>
    <col min="3058" max="3058" width="0.28515625" style="619" customWidth="1"/>
    <col min="3059" max="3059" width="11.7109375" style="619" customWidth="1"/>
    <col min="3060" max="3060" width="8.7109375" style="619" customWidth="1"/>
    <col min="3061" max="3061" width="0" style="619" hidden="1" customWidth="1"/>
    <col min="3062" max="3062" width="11.42578125" style="619" customWidth="1"/>
    <col min="3063" max="3065" width="0" style="619" hidden="1" customWidth="1"/>
    <col min="3066" max="3066" width="19" style="619" customWidth="1"/>
    <col min="3067" max="3067" width="17.28515625" style="619" customWidth="1"/>
    <col min="3068" max="3068" width="19.7109375" style="619" customWidth="1"/>
    <col min="3069" max="3069" width="20.7109375" style="619" customWidth="1"/>
    <col min="3070" max="3070" width="13.140625" style="619" bestFit="1" customWidth="1"/>
    <col min="3071" max="3071" width="21.5703125" style="619" customWidth="1"/>
    <col min="3072" max="3072" width="16" style="619" bestFit="1" customWidth="1"/>
    <col min="3073" max="3073" width="13.140625" style="619" bestFit="1" customWidth="1"/>
    <col min="3074" max="3074" width="38.28515625" style="619" bestFit="1" customWidth="1"/>
    <col min="3075" max="3075" width="1.28515625" style="619" customWidth="1"/>
    <col min="3076" max="3076" width="0" style="619" hidden="1" customWidth="1"/>
    <col min="3077" max="3301" width="11.42578125" style="619"/>
    <col min="3302" max="3302" width="1.42578125" style="619" customWidth="1"/>
    <col min="3303" max="3303" width="7.5703125" style="619" customWidth="1"/>
    <col min="3304" max="3304" width="4.85546875" style="619" customWidth="1"/>
    <col min="3305" max="3305" width="8" style="619" customWidth="1"/>
    <col min="3306" max="3306" width="8.140625" style="619" customWidth="1"/>
    <col min="3307" max="3307" width="7.28515625" style="619" customWidth="1"/>
    <col min="3308" max="3308" width="20.7109375" style="619" customWidth="1"/>
    <col min="3309" max="3309" width="15" style="619" customWidth="1"/>
    <col min="3310" max="3310" width="0.140625" style="619" customWidth="1"/>
    <col min="3311" max="3311" width="0" style="619" hidden="1" customWidth="1"/>
    <col min="3312" max="3312" width="78.85546875" style="619" customWidth="1"/>
    <col min="3313" max="3313" width="14.140625" style="619" customWidth="1"/>
    <col min="3314" max="3314" width="0.28515625" style="619" customWidth="1"/>
    <col min="3315" max="3315" width="11.7109375" style="619" customWidth="1"/>
    <col min="3316" max="3316" width="8.7109375" style="619" customWidth="1"/>
    <col min="3317" max="3317" width="0" style="619" hidden="1" customWidth="1"/>
    <col min="3318" max="3318" width="11.42578125" style="619" customWidth="1"/>
    <col min="3319" max="3321" width="0" style="619" hidden="1" customWidth="1"/>
    <col min="3322" max="3322" width="19" style="619" customWidth="1"/>
    <col min="3323" max="3323" width="17.28515625" style="619" customWidth="1"/>
    <col min="3324" max="3324" width="19.7109375" style="619" customWidth="1"/>
    <col min="3325" max="3325" width="20.7109375" style="619" customWidth="1"/>
    <col min="3326" max="3326" width="13.140625" style="619" bestFit="1" customWidth="1"/>
    <col min="3327" max="3327" width="21.5703125" style="619" customWidth="1"/>
    <col min="3328" max="3328" width="16" style="619" bestFit="1" customWidth="1"/>
    <col min="3329" max="3329" width="13.140625" style="619" bestFit="1" customWidth="1"/>
    <col min="3330" max="3330" width="38.28515625" style="619" bestFit="1" customWidth="1"/>
    <col min="3331" max="3331" width="1.28515625" style="619" customWidth="1"/>
    <col min="3332" max="3332" width="0" style="619" hidden="1" customWidth="1"/>
    <col min="3333" max="3557" width="11.42578125" style="619"/>
    <col min="3558" max="3558" width="1.42578125" style="619" customWidth="1"/>
    <col min="3559" max="3559" width="7.5703125" style="619" customWidth="1"/>
    <col min="3560" max="3560" width="4.85546875" style="619" customWidth="1"/>
    <col min="3561" max="3561" width="8" style="619" customWidth="1"/>
    <col min="3562" max="3562" width="8.140625" style="619" customWidth="1"/>
    <col min="3563" max="3563" width="7.28515625" style="619" customWidth="1"/>
    <col min="3564" max="3564" width="20.7109375" style="619" customWidth="1"/>
    <col min="3565" max="3565" width="15" style="619" customWidth="1"/>
    <col min="3566" max="3566" width="0.140625" style="619" customWidth="1"/>
    <col min="3567" max="3567" width="0" style="619" hidden="1" customWidth="1"/>
    <col min="3568" max="3568" width="78.85546875" style="619" customWidth="1"/>
    <col min="3569" max="3569" width="14.140625" style="619" customWidth="1"/>
    <col min="3570" max="3570" width="0.28515625" style="619" customWidth="1"/>
    <col min="3571" max="3571" width="11.7109375" style="619" customWidth="1"/>
    <col min="3572" max="3572" width="8.7109375" style="619" customWidth="1"/>
    <col min="3573" max="3573" width="0" style="619" hidden="1" customWidth="1"/>
    <col min="3574" max="3574" width="11.42578125" style="619" customWidth="1"/>
    <col min="3575" max="3577" width="0" style="619" hidden="1" customWidth="1"/>
    <col min="3578" max="3578" width="19" style="619" customWidth="1"/>
    <col min="3579" max="3579" width="17.28515625" style="619" customWidth="1"/>
    <col min="3580" max="3580" width="19.7109375" style="619" customWidth="1"/>
    <col min="3581" max="3581" width="20.7109375" style="619" customWidth="1"/>
    <col min="3582" max="3582" width="13.140625" style="619" bestFit="1" customWidth="1"/>
    <col min="3583" max="3583" width="21.5703125" style="619" customWidth="1"/>
    <col min="3584" max="3584" width="16" style="619" bestFit="1" customWidth="1"/>
    <col min="3585" max="3585" width="13.140625" style="619" bestFit="1" customWidth="1"/>
    <col min="3586" max="3586" width="38.28515625" style="619" bestFit="1" customWidth="1"/>
    <col min="3587" max="3587" width="1.28515625" style="619" customWidth="1"/>
    <col min="3588" max="3588" width="0" style="619" hidden="1" customWidth="1"/>
    <col min="3589" max="3813" width="11.42578125" style="619"/>
    <col min="3814" max="3814" width="1.42578125" style="619" customWidth="1"/>
    <col min="3815" max="3815" width="7.5703125" style="619" customWidth="1"/>
    <col min="3816" max="3816" width="4.85546875" style="619" customWidth="1"/>
    <col min="3817" max="3817" width="8" style="619" customWidth="1"/>
    <col min="3818" max="3818" width="8.140625" style="619" customWidth="1"/>
    <col min="3819" max="3819" width="7.28515625" style="619" customWidth="1"/>
    <col min="3820" max="3820" width="20.7109375" style="619" customWidth="1"/>
    <col min="3821" max="3821" width="15" style="619" customWidth="1"/>
    <col min="3822" max="3822" width="0.140625" style="619" customWidth="1"/>
    <col min="3823" max="3823" width="0" style="619" hidden="1" customWidth="1"/>
    <col min="3824" max="3824" width="78.85546875" style="619" customWidth="1"/>
    <col min="3825" max="3825" width="14.140625" style="619" customWidth="1"/>
    <col min="3826" max="3826" width="0.28515625" style="619" customWidth="1"/>
    <col min="3827" max="3827" width="11.7109375" style="619" customWidth="1"/>
    <col min="3828" max="3828" width="8.7109375" style="619" customWidth="1"/>
    <col min="3829" max="3829" width="0" style="619" hidden="1" customWidth="1"/>
    <col min="3830" max="3830" width="11.42578125" style="619" customWidth="1"/>
    <col min="3831" max="3833" width="0" style="619" hidden="1" customWidth="1"/>
    <col min="3834" max="3834" width="19" style="619" customWidth="1"/>
    <col min="3835" max="3835" width="17.28515625" style="619" customWidth="1"/>
    <col min="3836" max="3836" width="19.7109375" style="619" customWidth="1"/>
    <col min="3837" max="3837" width="20.7109375" style="619" customWidth="1"/>
    <col min="3838" max="3838" width="13.140625" style="619" bestFit="1" customWidth="1"/>
    <col min="3839" max="3839" width="21.5703125" style="619" customWidth="1"/>
    <col min="3840" max="3840" width="16" style="619" bestFit="1" customWidth="1"/>
    <col min="3841" max="3841" width="13.140625" style="619" bestFit="1" customWidth="1"/>
    <col min="3842" max="3842" width="38.28515625" style="619" bestFit="1" customWidth="1"/>
    <col min="3843" max="3843" width="1.28515625" style="619" customWidth="1"/>
    <col min="3844" max="3844" width="0" style="619" hidden="1" customWidth="1"/>
    <col min="3845" max="4069" width="11.42578125" style="619"/>
    <col min="4070" max="4070" width="1.42578125" style="619" customWidth="1"/>
    <col min="4071" max="4071" width="7.5703125" style="619" customWidth="1"/>
    <col min="4072" max="4072" width="4.85546875" style="619" customWidth="1"/>
    <col min="4073" max="4073" width="8" style="619" customWidth="1"/>
    <col min="4074" max="4074" width="8.140625" style="619" customWidth="1"/>
    <col min="4075" max="4075" width="7.28515625" style="619" customWidth="1"/>
    <col min="4076" max="4076" width="20.7109375" style="619" customWidth="1"/>
    <col min="4077" max="4077" width="15" style="619" customWidth="1"/>
    <col min="4078" max="4078" width="0.140625" style="619" customWidth="1"/>
    <col min="4079" max="4079" width="0" style="619" hidden="1" customWidth="1"/>
    <col min="4080" max="4080" width="78.85546875" style="619" customWidth="1"/>
    <col min="4081" max="4081" width="14.140625" style="619" customWidth="1"/>
    <col min="4082" max="4082" width="0.28515625" style="619" customWidth="1"/>
    <col min="4083" max="4083" width="11.7109375" style="619" customWidth="1"/>
    <col min="4084" max="4084" width="8.7109375" style="619" customWidth="1"/>
    <col min="4085" max="4085" width="0" style="619" hidden="1" customWidth="1"/>
    <col min="4086" max="4086" width="11.42578125" style="619" customWidth="1"/>
    <col min="4087" max="4089" width="0" style="619" hidden="1" customWidth="1"/>
    <col min="4090" max="4090" width="19" style="619" customWidth="1"/>
    <col min="4091" max="4091" width="17.28515625" style="619" customWidth="1"/>
    <col min="4092" max="4092" width="19.7109375" style="619" customWidth="1"/>
    <col min="4093" max="4093" width="20.7109375" style="619" customWidth="1"/>
    <col min="4094" max="4094" width="13.140625" style="619" bestFit="1" customWidth="1"/>
    <col min="4095" max="4095" width="21.5703125" style="619" customWidth="1"/>
    <col min="4096" max="4096" width="16" style="619" bestFit="1" customWidth="1"/>
    <col min="4097" max="4097" width="13.140625" style="619" bestFit="1" customWidth="1"/>
    <col min="4098" max="4098" width="38.28515625" style="619" bestFit="1" customWidth="1"/>
    <col min="4099" max="4099" width="1.28515625" style="619" customWidth="1"/>
    <col min="4100" max="4100" width="0" style="619" hidden="1" customWidth="1"/>
    <col min="4101" max="4325" width="11.42578125" style="619"/>
    <col min="4326" max="4326" width="1.42578125" style="619" customWidth="1"/>
    <col min="4327" max="4327" width="7.5703125" style="619" customWidth="1"/>
    <col min="4328" max="4328" width="4.85546875" style="619" customWidth="1"/>
    <col min="4329" max="4329" width="8" style="619" customWidth="1"/>
    <col min="4330" max="4330" width="8.140625" style="619" customWidth="1"/>
    <col min="4331" max="4331" width="7.28515625" style="619" customWidth="1"/>
    <col min="4332" max="4332" width="20.7109375" style="619" customWidth="1"/>
    <col min="4333" max="4333" width="15" style="619" customWidth="1"/>
    <col min="4334" max="4334" width="0.140625" style="619" customWidth="1"/>
    <col min="4335" max="4335" width="0" style="619" hidden="1" customWidth="1"/>
    <col min="4336" max="4336" width="78.85546875" style="619" customWidth="1"/>
    <col min="4337" max="4337" width="14.140625" style="619" customWidth="1"/>
    <col min="4338" max="4338" width="0.28515625" style="619" customWidth="1"/>
    <col min="4339" max="4339" width="11.7109375" style="619" customWidth="1"/>
    <col min="4340" max="4340" width="8.7109375" style="619" customWidth="1"/>
    <col min="4341" max="4341" width="0" style="619" hidden="1" customWidth="1"/>
    <col min="4342" max="4342" width="11.42578125" style="619" customWidth="1"/>
    <col min="4343" max="4345" width="0" style="619" hidden="1" customWidth="1"/>
    <col min="4346" max="4346" width="19" style="619" customWidth="1"/>
    <col min="4347" max="4347" width="17.28515625" style="619" customWidth="1"/>
    <col min="4348" max="4348" width="19.7109375" style="619" customWidth="1"/>
    <col min="4349" max="4349" width="20.7109375" style="619" customWidth="1"/>
    <col min="4350" max="4350" width="13.140625" style="619" bestFit="1" customWidth="1"/>
    <col min="4351" max="4351" width="21.5703125" style="619" customWidth="1"/>
    <col min="4352" max="4352" width="16" style="619" bestFit="1" customWidth="1"/>
    <col min="4353" max="4353" width="13.140625" style="619" bestFit="1" customWidth="1"/>
    <col min="4354" max="4354" width="38.28515625" style="619" bestFit="1" customWidth="1"/>
    <col min="4355" max="4355" width="1.28515625" style="619" customWidth="1"/>
    <col min="4356" max="4356" width="0" style="619" hidden="1" customWidth="1"/>
    <col min="4357" max="4581" width="11.42578125" style="619"/>
    <col min="4582" max="4582" width="1.42578125" style="619" customWidth="1"/>
    <col min="4583" max="4583" width="7.5703125" style="619" customWidth="1"/>
    <col min="4584" max="4584" width="4.85546875" style="619" customWidth="1"/>
    <col min="4585" max="4585" width="8" style="619" customWidth="1"/>
    <col min="4586" max="4586" width="8.140625" style="619" customWidth="1"/>
    <col min="4587" max="4587" width="7.28515625" style="619" customWidth="1"/>
    <col min="4588" max="4588" width="20.7109375" style="619" customWidth="1"/>
    <col min="4589" max="4589" width="15" style="619" customWidth="1"/>
    <col min="4590" max="4590" width="0.140625" style="619" customWidth="1"/>
    <col min="4591" max="4591" width="0" style="619" hidden="1" customWidth="1"/>
    <col min="4592" max="4592" width="78.85546875" style="619" customWidth="1"/>
    <col min="4593" max="4593" width="14.140625" style="619" customWidth="1"/>
    <col min="4594" max="4594" width="0.28515625" style="619" customWidth="1"/>
    <col min="4595" max="4595" width="11.7109375" style="619" customWidth="1"/>
    <col min="4596" max="4596" width="8.7109375" style="619" customWidth="1"/>
    <col min="4597" max="4597" width="0" style="619" hidden="1" customWidth="1"/>
    <col min="4598" max="4598" width="11.42578125" style="619" customWidth="1"/>
    <col min="4599" max="4601" width="0" style="619" hidden="1" customWidth="1"/>
    <col min="4602" max="4602" width="19" style="619" customWidth="1"/>
    <col min="4603" max="4603" width="17.28515625" style="619" customWidth="1"/>
    <col min="4604" max="4604" width="19.7109375" style="619" customWidth="1"/>
    <col min="4605" max="4605" width="20.7109375" style="619" customWidth="1"/>
    <col min="4606" max="4606" width="13.140625" style="619" bestFit="1" customWidth="1"/>
    <col min="4607" max="4607" width="21.5703125" style="619" customWidth="1"/>
    <col min="4608" max="4608" width="16" style="619" bestFit="1" customWidth="1"/>
    <col min="4609" max="4609" width="13.140625" style="619" bestFit="1" customWidth="1"/>
    <col min="4610" max="4610" width="38.28515625" style="619" bestFit="1" customWidth="1"/>
    <col min="4611" max="4611" width="1.28515625" style="619" customWidth="1"/>
    <col min="4612" max="4612" width="0" style="619" hidden="1" customWidth="1"/>
    <col min="4613" max="4837" width="11.42578125" style="619"/>
    <col min="4838" max="4838" width="1.42578125" style="619" customWidth="1"/>
    <col min="4839" max="4839" width="7.5703125" style="619" customWidth="1"/>
    <col min="4840" max="4840" width="4.85546875" style="619" customWidth="1"/>
    <col min="4841" max="4841" width="8" style="619" customWidth="1"/>
    <col min="4842" max="4842" width="8.140625" style="619" customWidth="1"/>
    <col min="4843" max="4843" width="7.28515625" style="619" customWidth="1"/>
    <col min="4844" max="4844" width="20.7109375" style="619" customWidth="1"/>
    <col min="4845" max="4845" width="15" style="619" customWidth="1"/>
    <col min="4846" max="4846" width="0.140625" style="619" customWidth="1"/>
    <col min="4847" max="4847" width="0" style="619" hidden="1" customWidth="1"/>
    <col min="4848" max="4848" width="78.85546875" style="619" customWidth="1"/>
    <col min="4849" max="4849" width="14.140625" style="619" customWidth="1"/>
    <col min="4850" max="4850" width="0.28515625" style="619" customWidth="1"/>
    <col min="4851" max="4851" width="11.7109375" style="619" customWidth="1"/>
    <col min="4852" max="4852" width="8.7109375" style="619" customWidth="1"/>
    <col min="4853" max="4853" width="0" style="619" hidden="1" customWidth="1"/>
    <col min="4854" max="4854" width="11.42578125" style="619" customWidth="1"/>
    <col min="4855" max="4857" width="0" style="619" hidden="1" customWidth="1"/>
    <col min="4858" max="4858" width="19" style="619" customWidth="1"/>
    <col min="4859" max="4859" width="17.28515625" style="619" customWidth="1"/>
    <col min="4860" max="4860" width="19.7109375" style="619" customWidth="1"/>
    <col min="4861" max="4861" width="20.7109375" style="619" customWidth="1"/>
    <col min="4862" max="4862" width="13.140625" style="619" bestFit="1" customWidth="1"/>
    <col min="4863" max="4863" width="21.5703125" style="619" customWidth="1"/>
    <col min="4864" max="4864" width="16" style="619" bestFit="1" customWidth="1"/>
    <col min="4865" max="4865" width="13.140625" style="619" bestFit="1" customWidth="1"/>
    <col min="4866" max="4866" width="38.28515625" style="619" bestFit="1" customWidth="1"/>
    <col min="4867" max="4867" width="1.28515625" style="619" customWidth="1"/>
    <col min="4868" max="4868" width="0" style="619" hidden="1" customWidth="1"/>
    <col min="4869" max="5093" width="11.42578125" style="619"/>
    <col min="5094" max="5094" width="1.42578125" style="619" customWidth="1"/>
    <col min="5095" max="5095" width="7.5703125" style="619" customWidth="1"/>
    <col min="5096" max="5096" width="4.85546875" style="619" customWidth="1"/>
    <col min="5097" max="5097" width="8" style="619" customWidth="1"/>
    <col min="5098" max="5098" width="8.140625" style="619" customWidth="1"/>
    <col min="5099" max="5099" width="7.28515625" style="619" customWidth="1"/>
    <col min="5100" max="5100" width="20.7109375" style="619" customWidth="1"/>
    <col min="5101" max="5101" width="15" style="619" customWidth="1"/>
    <col min="5102" max="5102" width="0.140625" style="619" customWidth="1"/>
    <col min="5103" max="5103" width="0" style="619" hidden="1" customWidth="1"/>
    <col min="5104" max="5104" width="78.85546875" style="619" customWidth="1"/>
    <col min="5105" max="5105" width="14.140625" style="619" customWidth="1"/>
    <col min="5106" max="5106" width="0.28515625" style="619" customWidth="1"/>
    <col min="5107" max="5107" width="11.7109375" style="619" customWidth="1"/>
    <col min="5108" max="5108" width="8.7109375" style="619" customWidth="1"/>
    <col min="5109" max="5109" width="0" style="619" hidden="1" customWidth="1"/>
    <col min="5110" max="5110" width="11.42578125" style="619" customWidth="1"/>
    <col min="5111" max="5113" width="0" style="619" hidden="1" customWidth="1"/>
    <col min="5114" max="5114" width="19" style="619" customWidth="1"/>
    <col min="5115" max="5115" width="17.28515625" style="619" customWidth="1"/>
    <col min="5116" max="5116" width="19.7109375" style="619" customWidth="1"/>
    <col min="5117" max="5117" width="20.7109375" style="619" customWidth="1"/>
    <col min="5118" max="5118" width="13.140625" style="619" bestFit="1" customWidth="1"/>
    <col min="5119" max="5119" width="21.5703125" style="619" customWidth="1"/>
    <col min="5120" max="5120" width="16" style="619" bestFit="1" customWidth="1"/>
    <col min="5121" max="5121" width="13.140625" style="619" bestFit="1" customWidth="1"/>
    <col min="5122" max="5122" width="38.28515625" style="619" bestFit="1" customWidth="1"/>
    <col min="5123" max="5123" width="1.28515625" style="619" customWidth="1"/>
    <col min="5124" max="5124" width="0" style="619" hidden="1" customWidth="1"/>
    <col min="5125" max="5349" width="11.42578125" style="619"/>
    <col min="5350" max="5350" width="1.42578125" style="619" customWidth="1"/>
    <col min="5351" max="5351" width="7.5703125" style="619" customWidth="1"/>
    <col min="5352" max="5352" width="4.85546875" style="619" customWidth="1"/>
    <col min="5353" max="5353" width="8" style="619" customWidth="1"/>
    <col min="5354" max="5354" width="8.140625" style="619" customWidth="1"/>
    <col min="5355" max="5355" width="7.28515625" style="619" customWidth="1"/>
    <col min="5356" max="5356" width="20.7109375" style="619" customWidth="1"/>
    <col min="5357" max="5357" width="15" style="619" customWidth="1"/>
    <col min="5358" max="5358" width="0.140625" style="619" customWidth="1"/>
    <col min="5359" max="5359" width="0" style="619" hidden="1" customWidth="1"/>
    <col min="5360" max="5360" width="78.85546875" style="619" customWidth="1"/>
    <col min="5361" max="5361" width="14.140625" style="619" customWidth="1"/>
    <col min="5362" max="5362" width="0.28515625" style="619" customWidth="1"/>
    <col min="5363" max="5363" width="11.7109375" style="619" customWidth="1"/>
    <col min="5364" max="5364" width="8.7109375" style="619" customWidth="1"/>
    <col min="5365" max="5365" width="0" style="619" hidden="1" customWidth="1"/>
    <col min="5366" max="5366" width="11.42578125" style="619" customWidth="1"/>
    <col min="5367" max="5369" width="0" style="619" hidden="1" customWidth="1"/>
    <col min="5370" max="5370" width="19" style="619" customWidth="1"/>
    <col min="5371" max="5371" width="17.28515625" style="619" customWidth="1"/>
    <col min="5372" max="5372" width="19.7109375" style="619" customWidth="1"/>
    <col min="5373" max="5373" width="20.7109375" style="619" customWidth="1"/>
    <col min="5374" max="5374" width="13.140625" style="619" bestFit="1" customWidth="1"/>
    <col min="5375" max="5375" width="21.5703125" style="619" customWidth="1"/>
    <col min="5376" max="5376" width="16" style="619" bestFit="1" customWidth="1"/>
    <col min="5377" max="5377" width="13.140625" style="619" bestFit="1" customWidth="1"/>
    <col min="5378" max="5378" width="38.28515625" style="619" bestFit="1" customWidth="1"/>
    <col min="5379" max="5379" width="1.28515625" style="619" customWidth="1"/>
    <col min="5380" max="5380" width="0" style="619" hidden="1" customWidth="1"/>
    <col min="5381" max="5605" width="11.42578125" style="619"/>
    <col min="5606" max="5606" width="1.42578125" style="619" customWidth="1"/>
    <col min="5607" max="5607" width="7.5703125" style="619" customWidth="1"/>
    <col min="5608" max="5608" width="4.85546875" style="619" customWidth="1"/>
    <col min="5609" max="5609" width="8" style="619" customWidth="1"/>
    <col min="5610" max="5610" width="8.140625" style="619" customWidth="1"/>
    <col min="5611" max="5611" width="7.28515625" style="619" customWidth="1"/>
    <col min="5612" max="5612" width="20.7109375" style="619" customWidth="1"/>
    <col min="5613" max="5613" width="15" style="619" customWidth="1"/>
    <col min="5614" max="5614" width="0.140625" style="619" customWidth="1"/>
    <col min="5615" max="5615" width="0" style="619" hidden="1" customWidth="1"/>
    <col min="5616" max="5616" width="78.85546875" style="619" customWidth="1"/>
    <col min="5617" max="5617" width="14.140625" style="619" customWidth="1"/>
    <col min="5618" max="5618" width="0.28515625" style="619" customWidth="1"/>
    <col min="5619" max="5619" width="11.7109375" style="619" customWidth="1"/>
    <col min="5620" max="5620" width="8.7109375" style="619" customWidth="1"/>
    <col min="5621" max="5621" width="0" style="619" hidden="1" customWidth="1"/>
    <col min="5622" max="5622" width="11.42578125" style="619" customWidth="1"/>
    <col min="5623" max="5625" width="0" style="619" hidden="1" customWidth="1"/>
    <col min="5626" max="5626" width="19" style="619" customWidth="1"/>
    <col min="5627" max="5627" width="17.28515625" style="619" customWidth="1"/>
    <col min="5628" max="5628" width="19.7109375" style="619" customWidth="1"/>
    <col min="5629" max="5629" width="20.7109375" style="619" customWidth="1"/>
    <col min="5630" max="5630" width="13.140625" style="619" bestFit="1" customWidth="1"/>
    <col min="5631" max="5631" width="21.5703125" style="619" customWidth="1"/>
    <col min="5632" max="5632" width="16" style="619" bestFit="1" customWidth="1"/>
    <col min="5633" max="5633" width="13.140625" style="619" bestFit="1" customWidth="1"/>
    <col min="5634" max="5634" width="38.28515625" style="619" bestFit="1" customWidth="1"/>
    <col min="5635" max="5635" width="1.28515625" style="619" customWidth="1"/>
    <col min="5636" max="5636" width="0" style="619" hidden="1" customWidth="1"/>
    <col min="5637" max="5861" width="11.42578125" style="619"/>
    <col min="5862" max="5862" width="1.42578125" style="619" customWidth="1"/>
    <col min="5863" max="5863" width="7.5703125" style="619" customWidth="1"/>
    <col min="5864" max="5864" width="4.85546875" style="619" customWidth="1"/>
    <col min="5865" max="5865" width="8" style="619" customWidth="1"/>
    <col min="5866" max="5866" width="8.140625" style="619" customWidth="1"/>
    <col min="5867" max="5867" width="7.28515625" style="619" customWidth="1"/>
    <col min="5868" max="5868" width="20.7109375" style="619" customWidth="1"/>
    <col min="5869" max="5869" width="15" style="619" customWidth="1"/>
    <col min="5870" max="5870" width="0.140625" style="619" customWidth="1"/>
    <col min="5871" max="5871" width="0" style="619" hidden="1" customWidth="1"/>
    <col min="5872" max="5872" width="78.85546875" style="619" customWidth="1"/>
    <col min="5873" max="5873" width="14.140625" style="619" customWidth="1"/>
    <col min="5874" max="5874" width="0.28515625" style="619" customWidth="1"/>
    <col min="5875" max="5875" width="11.7109375" style="619" customWidth="1"/>
    <col min="5876" max="5876" width="8.7109375" style="619" customWidth="1"/>
    <col min="5877" max="5877" width="0" style="619" hidden="1" customWidth="1"/>
    <col min="5878" max="5878" width="11.42578125" style="619" customWidth="1"/>
    <col min="5879" max="5881" width="0" style="619" hidden="1" customWidth="1"/>
    <col min="5882" max="5882" width="19" style="619" customWidth="1"/>
    <col min="5883" max="5883" width="17.28515625" style="619" customWidth="1"/>
    <col min="5884" max="5884" width="19.7109375" style="619" customWidth="1"/>
    <col min="5885" max="5885" width="20.7109375" style="619" customWidth="1"/>
    <col min="5886" max="5886" width="13.140625" style="619" bestFit="1" customWidth="1"/>
    <col min="5887" max="5887" width="21.5703125" style="619" customWidth="1"/>
    <col min="5888" max="5888" width="16" style="619" bestFit="1" customWidth="1"/>
    <col min="5889" max="5889" width="13.140625" style="619" bestFit="1" customWidth="1"/>
    <col min="5890" max="5890" width="38.28515625" style="619" bestFit="1" customWidth="1"/>
    <col min="5891" max="5891" width="1.28515625" style="619" customWidth="1"/>
    <col min="5892" max="5892" width="0" style="619" hidden="1" customWidth="1"/>
    <col min="5893" max="6117" width="11.42578125" style="619"/>
    <col min="6118" max="6118" width="1.42578125" style="619" customWidth="1"/>
    <col min="6119" max="6119" width="7.5703125" style="619" customWidth="1"/>
    <col min="6120" max="6120" width="4.85546875" style="619" customWidth="1"/>
    <col min="6121" max="6121" width="8" style="619" customWidth="1"/>
    <col min="6122" max="6122" width="8.140625" style="619" customWidth="1"/>
    <col min="6123" max="6123" width="7.28515625" style="619" customWidth="1"/>
    <col min="6124" max="6124" width="20.7109375" style="619" customWidth="1"/>
    <col min="6125" max="6125" width="15" style="619" customWidth="1"/>
    <col min="6126" max="6126" width="0.140625" style="619" customWidth="1"/>
    <col min="6127" max="6127" width="0" style="619" hidden="1" customWidth="1"/>
    <col min="6128" max="6128" width="78.85546875" style="619" customWidth="1"/>
    <col min="6129" max="6129" width="14.140625" style="619" customWidth="1"/>
    <col min="6130" max="6130" width="0.28515625" style="619" customWidth="1"/>
    <col min="6131" max="6131" width="11.7109375" style="619" customWidth="1"/>
    <col min="6132" max="6132" width="8.7109375" style="619" customWidth="1"/>
    <col min="6133" max="6133" width="0" style="619" hidden="1" customWidth="1"/>
    <col min="6134" max="6134" width="11.42578125" style="619" customWidth="1"/>
    <col min="6135" max="6137" width="0" style="619" hidden="1" customWidth="1"/>
    <col min="6138" max="6138" width="19" style="619" customWidth="1"/>
    <col min="6139" max="6139" width="17.28515625" style="619" customWidth="1"/>
    <col min="6140" max="6140" width="19.7109375" style="619" customWidth="1"/>
    <col min="6141" max="6141" width="20.7109375" style="619" customWidth="1"/>
    <col min="6142" max="6142" width="13.140625" style="619" bestFit="1" customWidth="1"/>
    <col min="6143" max="6143" width="21.5703125" style="619" customWidth="1"/>
    <col min="6144" max="6144" width="16" style="619" bestFit="1" customWidth="1"/>
    <col min="6145" max="6145" width="13.140625" style="619" bestFit="1" customWidth="1"/>
    <col min="6146" max="6146" width="38.28515625" style="619" bestFit="1" customWidth="1"/>
    <col min="6147" max="6147" width="1.28515625" style="619" customWidth="1"/>
    <col min="6148" max="6148" width="0" style="619" hidden="1" customWidth="1"/>
    <col min="6149" max="6373" width="11.42578125" style="619"/>
    <col min="6374" max="6374" width="1.42578125" style="619" customWidth="1"/>
    <col min="6375" max="6375" width="7.5703125" style="619" customWidth="1"/>
    <col min="6376" max="6376" width="4.85546875" style="619" customWidth="1"/>
    <col min="6377" max="6377" width="8" style="619" customWidth="1"/>
    <col min="6378" max="6378" width="8.140625" style="619" customWidth="1"/>
    <col min="6379" max="6379" width="7.28515625" style="619" customWidth="1"/>
    <col min="6380" max="6380" width="20.7109375" style="619" customWidth="1"/>
    <col min="6381" max="6381" width="15" style="619" customWidth="1"/>
    <col min="6382" max="6382" width="0.140625" style="619" customWidth="1"/>
    <col min="6383" max="6383" width="0" style="619" hidden="1" customWidth="1"/>
    <col min="6384" max="6384" width="78.85546875" style="619" customWidth="1"/>
    <col min="6385" max="6385" width="14.140625" style="619" customWidth="1"/>
    <col min="6386" max="6386" width="0.28515625" style="619" customWidth="1"/>
    <col min="6387" max="6387" width="11.7109375" style="619" customWidth="1"/>
    <col min="6388" max="6388" width="8.7109375" style="619" customWidth="1"/>
    <col min="6389" max="6389" width="0" style="619" hidden="1" customWidth="1"/>
    <col min="6390" max="6390" width="11.42578125" style="619" customWidth="1"/>
    <col min="6391" max="6393" width="0" style="619" hidden="1" customWidth="1"/>
    <col min="6394" max="6394" width="19" style="619" customWidth="1"/>
    <col min="6395" max="6395" width="17.28515625" style="619" customWidth="1"/>
    <col min="6396" max="6396" width="19.7109375" style="619" customWidth="1"/>
    <col min="6397" max="6397" width="20.7109375" style="619" customWidth="1"/>
    <col min="6398" max="6398" width="13.140625" style="619" bestFit="1" customWidth="1"/>
    <col min="6399" max="6399" width="21.5703125" style="619" customWidth="1"/>
    <col min="6400" max="6400" width="16" style="619" bestFit="1" customWidth="1"/>
    <col min="6401" max="6401" width="13.140625" style="619" bestFit="1" customWidth="1"/>
    <col min="6402" max="6402" width="38.28515625" style="619" bestFit="1" customWidth="1"/>
    <col min="6403" max="6403" width="1.28515625" style="619" customWidth="1"/>
    <col min="6404" max="6404" width="0" style="619" hidden="1" customWidth="1"/>
    <col min="6405" max="6629" width="11.42578125" style="619"/>
    <col min="6630" max="6630" width="1.42578125" style="619" customWidth="1"/>
    <col min="6631" max="6631" width="7.5703125" style="619" customWidth="1"/>
    <col min="6632" max="6632" width="4.85546875" style="619" customWidth="1"/>
    <col min="6633" max="6633" width="8" style="619" customWidth="1"/>
    <col min="6634" max="6634" width="8.140625" style="619" customWidth="1"/>
    <col min="6635" max="6635" width="7.28515625" style="619" customWidth="1"/>
    <col min="6636" max="6636" width="20.7109375" style="619" customWidth="1"/>
    <col min="6637" max="6637" width="15" style="619" customWidth="1"/>
    <col min="6638" max="6638" width="0.140625" style="619" customWidth="1"/>
    <col min="6639" max="6639" width="0" style="619" hidden="1" customWidth="1"/>
    <col min="6640" max="6640" width="78.85546875" style="619" customWidth="1"/>
    <col min="6641" max="6641" width="14.140625" style="619" customWidth="1"/>
    <col min="6642" max="6642" width="0.28515625" style="619" customWidth="1"/>
    <col min="6643" max="6643" width="11.7109375" style="619" customWidth="1"/>
    <col min="6644" max="6644" width="8.7109375" style="619" customWidth="1"/>
    <col min="6645" max="6645" width="0" style="619" hidden="1" customWidth="1"/>
    <col min="6646" max="6646" width="11.42578125" style="619" customWidth="1"/>
    <col min="6647" max="6649" width="0" style="619" hidden="1" customWidth="1"/>
    <col min="6650" max="6650" width="19" style="619" customWidth="1"/>
    <col min="6651" max="6651" width="17.28515625" style="619" customWidth="1"/>
    <col min="6652" max="6652" width="19.7109375" style="619" customWidth="1"/>
    <col min="6653" max="6653" width="20.7109375" style="619" customWidth="1"/>
    <col min="6654" max="6654" width="13.140625" style="619" bestFit="1" customWidth="1"/>
    <col min="6655" max="6655" width="21.5703125" style="619" customWidth="1"/>
    <col min="6656" max="6656" width="16" style="619" bestFit="1" customWidth="1"/>
    <col min="6657" max="6657" width="13.140625" style="619" bestFit="1" customWidth="1"/>
    <col min="6658" max="6658" width="38.28515625" style="619" bestFit="1" customWidth="1"/>
    <col min="6659" max="6659" width="1.28515625" style="619" customWidth="1"/>
    <col min="6660" max="6660" width="0" style="619" hidden="1" customWidth="1"/>
    <col min="6661" max="6885" width="11.42578125" style="619"/>
    <col min="6886" max="6886" width="1.42578125" style="619" customWidth="1"/>
    <col min="6887" max="6887" width="7.5703125" style="619" customWidth="1"/>
    <col min="6888" max="6888" width="4.85546875" style="619" customWidth="1"/>
    <col min="6889" max="6889" width="8" style="619" customWidth="1"/>
    <col min="6890" max="6890" width="8.140625" style="619" customWidth="1"/>
    <col min="6891" max="6891" width="7.28515625" style="619" customWidth="1"/>
    <col min="6892" max="6892" width="20.7109375" style="619" customWidth="1"/>
    <col min="6893" max="6893" width="15" style="619" customWidth="1"/>
    <col min="6894" max="6894" width="0.140625" style="619" customWidth="1"/>
    <col min="6895" max="6895" width="0" style="619" hidden="1" customWidth="1"/>
    <col min="6896" max="6896" width="78.85546875" style="619" customWidth="1"/>
    <col min="6897" max="6897" width="14.140625" style="619" customWidth="1"/>
    <col min="6898" max="6898" width="0.28515625" style="619" customWidth="1"/>
    <col min="6899" max="6899" width="11.7109375" style="619" customWidth="1"/>
    <col min="6900" max="6900" width="8.7109375" style="619" customWidth="1"/>
    <col min="6901" max="6901" width="0" style="619" hidden="1" customWidth="1"/>
    <col min="6902" max="6902" width="11.42578125" style="619" customWidth="1"/>
    <col min="6903" max="6905" width="0" style="619" hidden="1" customWidth="1"/>
    <col min="6906" max="6906" width="19" style="619" customWidth="1"/>
    <col min="6907" max="6907" width="17.28515625" style="619" customWidth="1"/>
    <col min="6908" max="6908" width="19.7109375" style="619" customWidth="1"/>
    <col min="6909" max="6909" width="20.7109375" style="619" customWidth="1"/>
    <col min="6910" max="6910" width="13.140625" style="619" bestFit="1" customWidth="1"/>
    <col min="6911" max="6911" width="21.5703125" style="619" customWidth="1"/>
    <col min="6912" max="6912" width="16" style="619" bestFit="1" customWidth="1"/>
    <col min="6913" max="6913" width="13.140625" style="619" bestFit="1" customWidth="1"/>
    <col min="6914" max="6914" width="38.28515625" style="619" bestFit="1" customWidth="1"/>
    <col min="6915" max="6915" width="1.28515625" style="619" customWidth="1"/>
    <col min="6916" max="6916" width="0" style="619" hidden="1" customWidth="1"/>
    <col min="6917" max="7141" width="11.42578125" style="619"/>
    <col min="7142" max="7142" width="1.42578125" style="619" customWidth="1"/>
    <col min="7143" max="7143" width="7.5703125" style="619" customWidth="1"/>
    <col min="7144" max="7144" width="4.85546875" style="619" customWidth="1"/>
    <col min="7145" max="7145" width="8" style="619" customWidth="1"/>
    <col min="7146" max="7146" width="8.140625" style="619" customWidth="1"/>
    <col min="7147" max="7147" width="7.28515625" style="619" customWidth="1"/>
    <col min="7148" max="7148" width="20.7109375" style="619" customWidth="1"/>
    <col min="7149" max="7149" width="15" style="619" customWidth="1"/>
    <col min="7150" max="7150" width="0.140625" style="619" customWidth="1"/>
    <col min="7151" max="7151" width="0" style="619" hidden="1" customWidth="1"/>
    <col min="7152" max="7152" width="78.85546875" style="619" customWidth="1"/>
    <col min="7153" max="7153" width="14.140625" style="619" customWidth="1"/>
    <col min="7154" max="7154" width="0.28515625" style="619" customWidth="1"/>
    <col min="7155" max="7155" width="11.7109375" style="619" customWidth="1"/>
    <col min="7156" max="7156" width="8.7109375" style="619" customWidth="1"/>
    <col min="7157" max="7157" width="0" style="619" hidden="1" customWidth="1"/>
    <col min="7158" max="7158" width="11.42578125" style="619" customWidth="1"/>
    <col min="7159" max="7161" width="0" style="619" hidden="1" customWidth="1"/>
    <col min="7162" max="7162" width="19" style="619" customWidth="1"/>
    <col min="7163" max="7163" width="17.28515625" style="619" customWidth="1"/>
    <col min="7164" max="7164" width="19.7109375" style="619" customWidth="1"/>
    <col min="7165" max="7165" width="20.7109375" style="619" customWidth="1"/>
    <col min="7166" max="7166" width="13.140625" style="619" bestFit="1" customWidth="1"/>
    <col min="7167" max="7167" width="21.5703125" style="619" customWidth="1"/>
    <col min="7168" max="7168" width="16" style="619" bestFit="1" customWidth="1"/>
    <col min="7169" max="7169" width="13.140625" style="619" bestFit="1" customWidth="1"/>
    <col min="7170" max="7170" width="38.28515625" style="619" bestFit="1" customWidth="1"/>
    <col min="7171" max="7171" width="1.28515625" style="619" customWidth="1"/>
    <col min="7172" max="7172" width="0" style="619" hidden="1" customWidth="1"/>
    <col min="7173" max="7397" width="11.42578125" style="619"/>
    <col min="7398" max="7398" width="1.42578125" style="619" customWidth="1"/>
    <col min="7399" max="7399" width="7.5703125" style="619" customWidth="1"/>
    <col min="7400" max="7400" width="4.85546875" style="619" customWidth="1"/>
    <col min="7401" max="7401" width="8" style="619" customWidth="1"/>
    <col min="7402" max="7402" width="8.140625" style="619" customWidth="1"/>
    <col min="7403" max="7403" width="7.28515625" style="619" customWidth="1"/>
    <col min="7404" max="7404" width="20.7109375" style="619" customWidth="1"/>
    <col min="7405" max="7405" width="15" style="619" customWidth="1"/>
    <col min="7406" max="7406" width="0.140625" style="619" customWidth="1"/>
    <col min="7407" max="7407" width="0" style="619" hidden="1" customWidth="1"/>
    <col min="7408" max="7408" width="78.85546875" style="619" customWidth="1"/>
    <col min="7409" max="7409" width="14.140625" style="619" customWidth="1"/>
    <col min="7410" max="7410" width="0.28515625" style="619" customWidth="1"/>
    <col min="7411" max="7411" width="11.7109375" style="619" customWidth="1"/>
    <col min="7412" max="7412" width="8.7109375" style="619" customWidth="1"/>
    <col min="7413" max="7413" width="0" style="619" hidden="1" customWidth="1"/>
    <col min="7414" max="7414" width="11.42578125" style="619" customWidth="1"/>
    <col min="7415" max="7417" width="0" style="619" hidden="1" customWidth="1"/>
    <col min="7418" max="7418" width="19" style="619" customWidth="1"/>
    <col min="7419" max="7419" width="17.28515625" style="619" customWidth="1"/>
    <col min="7420" max="7420" width="19.7109375" style="619" customWidth="1"/>
    <col min="7421" max="7421" width="20.7109375" style="619" customWidth="1"/>
    <col min="7422" max="7422" width="13.140625" style="619" bestFit="1" customWidth="1"/>
    <col min="7423" max="7423" width="21.5703125" style="619" customWidth="1"/>
    <col min="7424" max="7424" width="16" style="619" bestFit="1" customWidth="1"/>
    <col min="7425" max="7425" width="13.140625" style="619" bestFit="1" customWidth="1"/>
    <col min="7426" max="7426" width="38.28515625" style="619" bestFit="1" customWidth="1"/>
    <col min="7427" max="7427" width="1.28515625" style="619" customWidth="1"/>
    <col min="7428" max="7428" width="0" style="619" hidden="1" customWidth="1"/>
    <col min="7429" max="7653" width="11.42578125" style="619"/>
    <col min="7654" max="7654" width="1.42578125" style="619" customWidth="1"/>
    <col min="7655" max="7655" width="7.5703125" style="619" customWidth="1"/>
    <col min="7656" max="7656" width="4.85546875" style="619" customWidth="1"/>
    <col min="7657" max="7657" width="8" style="619" customWidth="1"/>
    <col min="7658" max="7658" width="8.140625" style="619" customWidth="1"/>
    <col min="7659" max="7659" width="7.28515625" style="619" customWidth="1"/>
    <col min="7660" max="7660" width="20.7109375" style="619" customWidth="1"/>
    <col min="7661" max="7661" width="15" style="619" customWidth="1"/>
    <col min="7662" max="7662" width="0.140625" style="619" customWidth="1"/>
    <col min="7663" max="7663" width="0" style="619" hidden="1" customWidth="1"/>
    <col min="7664" max="7664" width="78.85546875" style="619" customWidth="1"/>
    <col min="7665" max="7665" width="14.140625" style="619" customWidth="1"/>
    <col min="7666" max="7666" width="0.28515625" style="619" customWidth="1"/>
    <col min="7667" max="7667" width="11.7109375" style="619" customWidth="1"/>
    <col min="7668" max="7668" width="8.7109375" style="619" customWidth="1"/>
    <col min="7669" max="7669" width="0" style="619" hidden="1" customWidth="1"/>
    <col min="7670" max="7670" width="11.42578125" style="619" customWidth="1"/>
    <col min="7671" max="7673" width="0" style="619" hidden="1" customWidth="1"/>
    <col min="7674" max="7674" width="19" style="619" customWidth="1"/>
    <col min="7675" max="7675" width="17.28515625" style="619" customWidth="1"/>
    <col min="7676" max="7676" width="19.7109375" style="619" customWidth="1"/>
    <col min="7677" max="7677" width="20.7109375" style="619" customWidth="1"/>
    <col min="7678" max="7678" width="13.140625" style="619" bestFit="1" customWidth="1"/>
    <col min="7679" max="7679" width="21.5703125" style="619" customWidth="1"/>
    <col min="7680" max="7680" width="16" style="619" bestFit="1" customWidth="1"/>
    <col min="7681" max="7681" width="13.140625" style="619" bestFit="1" customWidth="1"/>
    <col min="7682" max="7682" width="38.28515625" style="619" bestFit="1" customWidth="1"/>
    <col min="7683" max="7683" width="1.28515625" style="619" customWidth="1"/>
    <col min="7684" max="7684" width="0" style="619" hidden="1" customWidth="1"/>
    <col min="7685" max="7909" width="11.42578125" style="619"/>
    <col min="7910" max="7910" width="1.42578125" style="619" customWidth="1"/>
    <col min="7911" max="7911" width="7.5703125" style="619" customWidth="1"/>
    <col min="7912" max="7912" width="4.85546875" style="619" customWidth="1"/>
    <col min="7913" max="7913" width="8" style="619" customWidth="1"/>
    <col min="7914" max="7914" width="8.140625" style="619" customWidth="1"/>
    <col min="7915" max="7915" width="7.28515625" style="619" customWidth="1"/>
    <col min="7916" max="7916" width="20.7109375" style="619" customWidth="1"/>
    <col min="7917" max="7917" width="15" style="619" customWidth="1"/>
    <col min="7918" max="7918" width="0.140625" style="619" customWidth="1"/>
    <col min="7919" max="7919" width="0" style="619" hidden="1" customWidth="1"/>
    <col min="7920" max="7920" width="78.85546875" style="619" customWidth="1"/>
    <col min="7921" max="7921" width="14.140625" style="619" customWidth="1"/>
    <col min="7922" max="7922" width="0.28515625" style="619" customWidth="1"/>
    <col min="7923" max="7923" width="11.7109375" style="619" customWidth="1"/>
    <col min="7924" max="7924" width="8.7109375" style="619" customWidth="1"/>
    <col min="7925" max="7925" width="0" style="619" hidden="1" customWidth="1"/>
    <col min="7926" max="7926" width="11.42578125" style="619" customWidth="1"/>
    <col min="7927" max="7929" width="0" style="619" hidden="1" customWidth="1"/>
    <col min="7930" max="7930" width="19" style="619" customWidth="1"/>
    <col min="7931" max="7931" width="17.28515625" style="619" customWidth="1"/>
    <col min="7932" max="7932" width="19.7109375" style="619" customWidth="1"/>
    <col min="7933" max="7933" width="20.7109375" style="619" customWidth="1"/>
    <col min="7934" max="7934" width="13.140625" style="619" bestFit="1" customWidth="1"/>
    <col min="7935" max="7935" width="21.5703125" style="619" customWidth="1"/>
    <col min="7936" max="7936" width="16" style="619" bestFit="1" customWidth="1"/>
    <col min="7937" max="7937" width="13.140625" style="619" bestFit="1" customWidth="1"/>
    <col min="7938" max="7938" width="38.28515625" style="619" bestFit="1" customWidth="1"/>
    <col min="7939" max="7939" width="1.28515625" style="619" customWidth="1"/>
    <col min="7940" max="7940" width="0" style="619" hidden="1" customWidth="1"/>
    <col min="7941" max="8165" width="11.42578125" style="619"/>
    <col min="8166" max="8166" width="1.42578125" style="619" customWidth="1"/>
    <col min="8167" max="8167" width="7.5703125" style="619" customWidth="1"/>
    <col min="8168" max="8168" width="4.85546875" style="619" customWidth="1"/>
    <col min="8169" max="8169" width="8" style="619" customWidth="1"/>
    <col min="8170" max="8170" width="8.140625" style="619" customWidth="1"/>
    <col min="8171" max="8171" width="7.28515625" style="619" customWidth="1"/>
    <col min="8172" max="8172" width="20.7109375" style="619" customWidth="1"/>
    <col min="8173" max="8173" width="15" style="619" customWidth="1"/>
    <col min="8174" max="8174" width="0.140625" style="619" customWidth="1"/>
    <col min="8175" max="8175" width="0" style="619" hidden="1" customWidth="1"/>
    <col min="8176" max="8176" width="78.85546875" style="619" customWidth="1"/>
    <col min="8177" max="8177" width="14.140625" style="619" customWidth="1"/>
    <col min="8178" max="8178" width="0.28515625" style="619" customWidth="1"/>
    <col min="8179" max="8179" width="11.7109375" style="619" customWidth="1"/>
    <col min="8180" max="8180" width="8.7109375" style="619" customWidth="1"/>
    <col min="8181" max="8181" width="0" style="619" hidden="1" customWidth="1"/>
    <col min="8182" max="8182" width="11.42578125" style="619" customWidth="1"/>
    <col min="8183" max="8185" width="0" style="619" hidden="1" customWidth="1"/>
    <col min="8186" max="8186" width="19" style="619" customWidth="1"/>
    <col min="8187" max="8187" width="17.28515625" style="619" customWidth="1"/>
    <col min="8188" max="8188" width="19.7109375" style="619" customWidth="1"/>
    <col min="8189" max="8189" width="20.7109375" style="619" customWidth="1"/>
    <col min="8190" max="8190" width="13.140625" style="619" bestFit="1" customWidth="1"/>
    <col min="8191" max="8191" width="21.5703125" style="619" customWidth="1"/>
    <col min="8192" max="8192" width="16" style="619" bestFit="1" customWidth="1"/>
    <col min="8193" max="8193" width="13.140625" style="619" bestFit="1" customWidth="1"/>
    <col min="8194" max="8194" width="38.28515625" style="619" bestFit="1" customWidth="1"/>
    <col min="8195" max="8195" width="1.28515625" style="619" customWidth="1"/>
    <col min="8196" max="8196" width="0" style="619" hidden="1" customWidth="1"/>
    <col min="8197" max="8421" width="11.42578125" style="619"/>
    <col min="8422" max="8422" width="1.42578125" style="619" customWidth="1"/>
    <col min="8423" max="8423" width="7.5703125" style="619" customWidth="1"/>
    <col min="8424" max="8424" width="4.85546875" style="619" customWidth="1"/>
    <col min="8425" max="8425" width="8" style="619" customWidth="1"/>
    <col min="8426" max="8426" width="8.140625" style="619" customWidth="1"/>
    <col min="8427" max="8427" width="7.28515625" style="619" customWidth="1"/>
    <col min="8428" max="8428" width="20.7109375" style="619" customWidth="1"/>
    <col min="8429" max="8429" width="15" style="619" customWidth="1"/>
    <col min="8430" max="8430" width="0.140625" style="619" customWidth="1"/>
    <col min="8431" max="8431" width="0" style="619" hidden="1" customWidth="1"/>
    <col min="8432" max="8432" width="78.85546875" style="619" customWidth="1"/>
    <col min="8433" max="8433" width="14.140625" style="619" customWidth="1"/>
    <col min="8434" max="8434" width="0.28515625" style="619" customWidth="1"/>
    <col min="8435" max="8435" width="11.7109375" style="619" customWidth="1"/>
    <col min="8436" max="8436" width="8.7109375" style="619" customWidth="1"/>
    <col min="8437" max="8437" width="0" style="619" hidden="1" customWidth="1"/>
    <col min="8438" max="8438" width="11.42578125" style="619" customWidth="1"/>
    <col min="8439" max="8441" width="0" style="619" hidden="1" customWidth="1"/>
    <col min="8442" max="8442" width="19" style="619" customWidth="1"/>
    <col min="8443" max="8443" width="17.28515625" style="619" customWidth="1"/>
    <col min="8444" max="8444" width="19.7109375" style="619" customWidth="1"/>
    <col min="8445" max="8445" width="20.7109375" style="619" customWidth="1"/>
    <col min="8446" max="8446" width="13.140625" style="619" bestFit="1" customWidth="1"/>
    <col min="8447" max="8447" width="21.5703125" style="619" customWidth="1"/>
    <col min="8448" max="8448" width="16" style="619" bestFit="1" customWidth="1"/>
    <col min="8449" max="8449" width="13.140625" style="619" bestFit="1" customWidth="1"/>
    <col min="8450" max="8450" width="38.28515625" style="619" bestFit="1" customWidth="1"/>
    <col min="8451" max="8451" width="1.28515625" style="619" customWidth="1"/>
    <col min="8452" max="8452" width="0" style="619" hidden="1" customWidth="1"/>
    <col min="8453" max="8677" width="11.42578125" style="619"/>
    <col min="8678" max="8678" width="1.42578125" style="619" customWidth="1"/>
    <col min="8679" max="8679" width="7.5703125" style="619" customWidth="1"/>
    <col min="8680" max="8680" width="4.85546875" style="619" customWidth="1"/>
    <col min="8681" max="8681" width="8" style="619" customWidth="1"/>
    <col min="8682" max="8682" width="8.140625" style="619" customWidth="1"/>
    <col min="8683" max="8683" width="7.28515625" style="619" customWidth="1"/>
    <col min="8684" max="8684" width="20.7109375" style="619" customWidth="1"/>
    <col min="8685" max="8685" width="15" style="619" customWidth="1"/>
    <col min="8686" max="8686" width="0.140625" style="619" customWidth="1"/>
    <col min="8687" max="8687" width="0" style="619" hidden="1" customWidth="1"/>
    <col min="8688" max="8688" width="78.85546875" style="619" customWidth="1"/>
    <col min="8689" max="8689" width="14.140625" style="619" customWidth="1"/>
    <col min="8690" max="8690" width="0.28515625" style="619" customWidth="1"/>
    <col min="8691" max="8691" width="11.7109375" style="619" customWidth="1"/>
    <col min="8692" max="8692" width="8.7109375" style="619" customWidth="1"/>
    <col min="8693" max="8693" width="0" style="619" hidden="1" customWidth="1"/>
    <col min="8694" max="8694" width="11.42578125" style="619" customWidth="1"/>
    <col min="8695" max="8697" width="0" style="619" hidden="1" customWidth="1"/>
    <col min="8698" max="8698" width="19" style="619" customWidth="1"/>
    <col min="8699" max="8699" width="17.28515625" style="619" customWidth="1"/>
    <col min="8700" max="8700" width="19.7109375" style="619" customWidth="1"/>
    <col min="8701" max="8701" width="20.7109375" style="619" customWidth="1"/>
    <col min="8702" max="8702" width="13.140625" style="619" bestFit="1" customWidth="1"/>
    <col min="8703" max="8703" width="21.5703125" style="619" customWidth="1"/>
    <col min="8704" max="8704" width="16" style="619" bestFit="1" customWidth="1"/>
    <col min="8705" max="8705" width="13.140625" style="619" bestFit="1" customWidth="1"/>
    <col min="8706" max="8706" width="38.28515625" style="619" bestFit="1" customWidth="1"/>
    <col min="8707" max="8707" width="1.28515625" style="619" customWidth="1"/>
    <col min="8708" max="8708" width="0" style="619" hidden="1" customWidth="1"/>
    <col min="8709" max="8933" width="11.42578125" style="619"/>
    <col min="8934" max="8934" width="1.42578125" style="619" customWidth="1"/>
    <col min="8935" max="8935" width="7.5703125" style="619" customWidth="1"/>
    <col min="8936" max="8936" width="4.85546875" style="619" customWidth="1"/>
    <col min="8937" max="8937" width="8" style="619" customWidth="1"/>
    <col min="8938" max="8938" width="8.140625" style="619" customWidth="1"/>
    <col min="8939" max="8939" width="7.28515625" style="619" customWidth="1"/>
    <col min="8940" max="8940" width="20.7109375" style="619" customWidth="1"/>
    <col min="8941" max="8941" width="15" style="619" customWidth="1"/>
    <col min="8942" max="8942" width="0.140625" style="619" customWidth="1"/>
    <col min="8943" max="8943" width="0" style="619" hidden="1" customWidth="1"/>
    <col min="8944" max="8944" width="78.85546875" style="619" customWidth="1"/>
    <col min="8945" max="8945" width="14.140625" style="619" customWidth="1"/>
    <col min="8946" max="8946" width="0.28515625" style="619" customWidth="1"/>
    <col min="8947" max="8947" width="11.7109375" style="619" customWidth="1"/>
    <col min="8948" max="8948" width="8.7109375" style="619" customWidth="1"/>
    <col min="8949" max="8949" width="0" style="619" hidden="1" customWidth="1"/>
    <col min="8950" max="8950" width="11.42578125" style="619" customWidth="1"/>
    <col min="8951" max="8953" width="0" style="619" hidden="1" customWidth="1"/>
    <col min="8954" max="8954" width="19" style="619" customWidth="1"/>
    <col min="8955" max="8955" width="17.28515625" style="619" customWidth="1"/>
    <col min="8956" max="8956" width="19.7109375" style="619" customWidth="1"/>
    <col min="8957" max="8957" width="20.7109375" style="619" customWidth="1"/>
    <col min="8958" max="8958" width="13.140625" style="619" bestFit="1" customWidth="1"/>
    <col min="8959" max="8959" width="21.5703125" style="619" customWidth="1"/>
    <col min="8960" max="8960" width="16" style="619" bestFit="1" customWidth="1"/>
    <col min="8961" max="8961" width="13.140625" style="619" bestFit="1" customWidth="1"/>
    <col min="8962" max="8962" width="38.28515625" style="619" bestFit="1" customWidth="1"/>
    <col min="8963" max="8963" width="1.28515625" style="619" customWidth="1"/>
    <col min="8964" max="8964" width="0" style="619" hidden="1" customWidth="1"/>
    <col min="8965" max="9189" width="11.42578125" style="619"/>
    <col min="9190" max="9190" width="1.42578125" style="619" customWidth="1"/>
    <col min="9191" max="9191" width="7.5703125" style="619" customWidth="1"/>
    <col min="9192" max="9192" width="4.85546875" style="619" customWidth="1"/>
    <col min="9193" max="9193" width="8" style="619" customWidth="1"/>
    <col min="9194" max="9194" width="8.140625" style="619" customWidth="1"/>
    <col min="9195" max="9195" width="7.28515625" style="619" customWidth="1"/>
    <col min="9196" max="9196" width="20.7109375" style="619" customWidth="1"/>
    <col min="9197" max="9197" width="15" style="619" customWidth="1"/>
    <col min="9198" max="9198" width="0.140625" style="619" customWidth="1"/>
    <col min="9199" max="9199" width="0" style="619" hidden="1" customWidth="1"/>
    <col min="9200" max="9200" width="78.85546875" style="619" customWidth="1"/>
    <col min="9201" max="9201" width="14.140625" style="619" customWidth="1"/>
    <col min="9202" max="9202" width="0.28515625" style="619" customWidth="1"/>
    <col min="9203" max="9203" width="11.7109375" style="619" customWidth="1"/>
    <col min="9204" max="9204" width="8.7109375" style="619" customWidth="1"/>
    <col min="9205" max="9205" width="0" style="619" hidden="1" customWidth="1"/>
    <col min="9206" max="9206" width="11.42578125" style="619" customWidth="1"/>
    <col min="9207" max="9209" width="0" style="619" hidden="1" customWidth="1"/>
    <col min="9210" max="9210" width="19" style="619" customWidth="1"/>
    <col min="9211" max="9211" width="17.28515625" style="619" customWidth="1"/>
    <col min="9212" max="9212" width="19.7109375" style="619" customWidth="1"/>
    <col min="9213" max="9213" width="20.7109375" style="619" customWidth="1"/>
    <col min="9214" max="9214" width="13.140625" style="619" bestFit="1" customWidth="1"/>
    <col min="9215" max="9215" width="21.5703125" style="619" customWidth="1"/>
    <col min="9216" max="9216" width="16" style="619" bestFit="1" customWidth="1"/>
    <col min="9217" max="9217" width="13.140625" style="619" bestFit="1" customWidth="1"/>
    <col min="9218" max="9218" width="38.28515625" style="619" bestFit="1" customWidth="1"/>
    <col min="9219" max="9219" width="1.28515625" style="619" customWidth="1"/>
    <col min="9220" max="9220" width="0" style="619" hidden="1" customWidth="1"/>
    <col min="9221" max="9445" width="11.42578125" style="619"/>
    <col min="9446" max="9446" width="1.42578125" style="619" customWidth="1"/>
    <col min="9447" max="9447" width="7.5703125" style="619" customWidth="1"/>
    <col min="9448" max="9448" width="4.85546875" style="619" customWidth="1"/>
    <col min="9449" max="9449" width="8" style="619" customWidth="1"/>
    <col min="9450" max="9450" width="8.140625" style="619" customWidth="1"/>
    <col min="9451" max="9451" width="7.28515625" style="619" customWidth="1"/>
    <col min="9452" max="9452" width="20.7109375" style="619" customWidth="1"/>
    <col min="9453" max="9453" width="15" style="619" customWidth="1"/>
    <col min="9454" max="9454" width="0.140625" style="619" customWidth="1"/>
    <col min="9455" max="9455" width="0" style="619" hidden="1" customWidth="1"/>
    <col min="9456" max="9456" width="78.85546875" style="619" customWidth="1"/>
    <col min="9457" max="9457" width="14.140625" style="619" customWidth="1"/>
    <col min="9458" max="9458" width="0.28515625" style="619" customWidth="1"/>
    <col min="9459" max="9459" width="11.7109375" style="619" customWidth="1"/>
    <col min="9460" max="9460" width="8.7109375" style="619" customWidth="1"/>
    <col min="9461" max="9461" width="0" style="619" hidden="1" customWidth="1"/>
    <col min="9462" max="9462" width="11.42578125" style="619" customWidth="1"/>
    <col min="9463" max="9465" width="0" style="619" hidden="1" customWidth="1"/>
    <col min="9466" max="9466" width="19" style="619" customWidth="1"/>
    <col min="9467" max="9467" width="17.28515625" style="619" customWidth="1"/>
    <col min="9468" max="9468" width="19.7109375" style="619" customWidth="1"/>
    <col min="9469" max="9469" width="20.7109375" style="619" customWidth="1"/>
    <col min="9470" max="9470" width="13.140625" style="619" bestFit="1" customWidth="1"/>
    <col min="9471" max="9471" width="21.5703125" style="619" customWidth="1"/>
    <col min="9472" max="9472" width="16" style="619" bestFit="1" customWidth="1"/>
    <col min="9473" max="9473" width="13.140625" style="619" bestFit="1" customWidth="1"/>
    <col min="9474" max="9474" width="38.28515625" style="619" bestFit="1" customWidth="1"/>
    <col min="9475" max="9475" width="1.28515625" style="619" customWidth="1"/>
    <col min="9476" max="9476" width="0" style="619" hidden="1" customWidth="1"/>
    <col min="9477" max="9701" width="11.42578125" style="619"/>
    <col min="9702" max="9702" width="1.42578125" style="619" customWidth="1"/>
    <col min="9703" max="9703" width="7.5703125" style="619" customWidth="1"/>
    <col min="9704" max="9704" width="4.85546875" style="619" customWidth="1"/>
    <col min="9705" max="9705" width="8" style="619" customWidth="1"/>
    <col min="9706" max="9706" width="8.140625" style="619" customWidth="1"/>
    <col min="9707" max="9707" width="7.28515625" style="619" customWidth="1"/>
    <col min="9708" max="9708" width="20.7109375" style="619" customWidth="1"/>
    <col min="9709" max="9709" width="15" style="619" customWidth="1"/>
    <col min="9710" max="9710" width="0.140625" style="619" customWidth="1"/>
    <col min="9711" max="9711" width="0" style="619" hidden="1" customWidth="1"/>
    <col min="9712" max="9712" width="78.85546875" style="619" customWidth="1"/>
    <col min="9713" max="9713" width="14.140625" style="619" customWidth="1"/>
    <col min="9714" max="9714" width="0.28515625" style="619" customWidth="1"/>
    <col min="9715" max="9715" width="11.7109375" style="619" customWidth="1"/>
    <col min="9716" max="9716" width="8.7109375" style="619" customWidth="1"/>
    <col min="9717" max="9717" width="0" style="619" hidden="1" customWidth="1"/>
    <col min="9718" max="9718" width="11.42578125" style="619" customWidth="1"/>
    <col min="9719" max="9721" width="0" style="619" hidden="1" customWidth="1"/>
    <col min="9722" max="9722" width="19" style="619" customWidth="1"/>
    <col min="9723" max="9723" width="17.28515625" style="619" customWidth="1"/>
    <col min="9724" max="9724" width="19.7109375" style="619" customWidth="1"/>
    <col min="9725" max="9725" width="20.7109375" style="619" customWidth="1"/>
    <col min="9726" max="9726" width="13.140625" style="619" bestFit="1" customWidth="1"/>
    <col min="9727" max="9727" width="21.5703125" style="619" customWidth="1"/>
    <col min="9728" max="9728" width="16" style="619" bestFit="1" customWidth="1"/>
    <col min="9729" max="9729" width="13.140625" style="619" bestFit="1" customWidth="1"/>
    <col min="9730" max="9730" width="38.28515625" style="619" bestFit="1" customWidth="1"/>
    <col min="9731" max="9731" width="1.28515625" style="619" customWidth="1"/>
    <col min="9732" max="9732" width="0" style="619" hidden="1" customWidth="1"/>
    <col min="9733" max="9957" width="11.42578125" style="619"/>
    <col min="9958" max="9958" width="1.42578125" style="619" customWidth="1"/>
    <col min="9959" max="9959" width="7.5703125" style="619" customWidth="1"/>
    <col min="9960" max="9960" width="4.85546875" style="619" customWidth="1"/>
    <col min="9961" max="9961" width="8" style="619" customWidth="1"/>
    <col min="9962" max="9962" width="8.140625" style="619" customWidth="1"/>
    <col min="9963" max="9963" width="7.28515625" style="619" customWidth="1"/>
    <col min="9964" max="9964" width="20.7109375" style="619" customWidth="1"/>
    <col min="9965" max="9965" width="15" style="619" customWidth="1"/>
    <col min="9966" max="9966" width="0.140625" style="619" customWidth="1"/>
    <col min="9967" max="9967" width="0" style="619" hidden="1" customWidth="1"/>
    <col min="9968" max="9968" width="78.85546875" style="619" customWidth="1"/>
    <col min="9969" max="9969" width="14.140625" style="619" customWidth="1"/>
    <col min="9970" max="9970" width="0.28515625" style="619" customWidth="1"/>
    <col min="9971" max="9971" width="11.7109375" style="619" customWidth="1"/>
    <col min="9972" max="9972" width="8.7109375" style="619" customWidth="1"/>
    <col min="9973" max="9973" width="0" style="619" hidden="1" customWidth="1"/>
    <col min="9974" max="9974" width="11.42578125" style="619" customWidth="1"/>
    <col min="9975" max="9977" width="0" style="619" hidden="1" customWidth="1"/>
    <col min="9978" max="9978" width="19" style="619" customWidth="1"/>
    <col min="9979" max="9979" width="17.28515625" style="619" customWidth="1"/>
    <col min="9980" max="9980" width="19.7109375" style="619" customWidth="1"/>
    <col min="9981" max="9981" width="20.7109375" style="619" customWidth="1"/>
    <col min="9982" max="9982" width="13.140625" style="619" bestFit="1" customWidth="1"/>
    <col min="9983" max="9983" width="21.5703125" style="619" customWidth="1"/>
    <col min="9984" max="9984" width="16" style="619" bestFit="1" customWidth="1"/>
    <col min="9985" max="9985" width="13.140625" style="619" bestFit="1" customWidth="1"/>
    <col min="9986" max="9986" width="38.28515625" style="619" bestFit="1" customWidth="1"/>
    <col min="9987" max="9987" width="1.28515625" style="619" customWidth="1"/>
    <col min="9988" max="9988" width="0" style="619" hidden="1" customWidth="1"/>
    <col min="9989" max="10213" width="11.42578125" style="619"/>
    <col min="10214" max="10214" width="1.42578125" style="619" customWidth="1"/>
    <col min="10215" max="10215" width="7.5703125" style="619" customWidth="1"/>
    <col min="10216" max="10216" width="4.85546875" style="619" customWidth="1"/>
    <col min="10217" max="10217" width="8" style="619" customWidth="1"/>
    <col min="10218" max="10218" width="8.140625" style="619" customWidth="1"/>
    <col min="10219" max="10219" width="7.28515625" style="619" customWidth="1"/>
    <col min="10220" max="10220" width="20.7109375" style="619" customWidth="1"/>
    <col min="10221" max="10221" width="15" style="619" customWidth="1"/>
    <col min="10222" max="10222" width="0.140625" style="619" customWidth="1"/>
    <col min="10223" max="10223" width="0" style="619" hidden="1" customWidth="1"/>
    <col min="10224" max="10224" width="78.85546875" style="619" customWidth="1"/>
    <col min="10225" max="10225" width="14.140625" style="619" customWidth="1"/>
    <col min="10226" max="10226" width="0.28515625" style="619" customWidth="1"/>
    <col min="10227" max="10227" width="11.7109375" style="619" customWidth="1"/>
    <col min="10228" max="10228" width="8.7109375" style="619" customWidth="1"/>
    <col min="10229" max="10229" width="0" style="619" hidden="1" customWidth="1"/>
    <col min="10230" max="10230" width="11.42578125" style="619" customWidth="1"/>
    <col min="10231" max="10233" width="0" style="619" hidden="1" customWidth="1"/>
    <col min="10234" max="10234" width="19" style="619" customWidth="1"/>
    <col min="10235" max="10235" width="17.28515625" style="619" customWidth="1"/>
    <col min="10236" max="10236" width="19.7109375" style="619" customWidth="1"/>
    <col min="10237" max="10237" width="20.7109375" style="619" customWidth="1"/>
    <col min="10238" max="10238" width="13.140625" style="619" bestFit="1" customWidth="1"/>
    <col min="10239" max="10239" width="21.5703125" style="619" customWidth="1"/>
    <col min="10240" max="10240" width="16" style="619" bestFit="1" customWidth="1"/>
    <col min="10241" max="10241" width="13.140625" style="619" bestFit="1" customWidth="1"/>
    <col min="10242" max="10242" width="38.28515625" style="619" bestFit="1" customWidth="1"/>
    <col min="10243" max="10243" width="1.28515625" style="619" customWidth="1"/>
    <col min="10244" max="10244" width="0" style="619" hidden="1" customWidth="1"/>
    <col min="10245" max="10469" width="11.42578125" style="619"/>
    <col min="10470" max="10470" width="1.42578125" style="619" customWidth="1"/>
    <col min="10471" max="10471" width="7.5703125" style="619" customWidth="1"/>
    <col min="10472" max="10472" width="4.85546875" style="619" customWidth="1"/>
    <col min="10473" max="10473" width="8" style="619" customWidth="1"/>
    <col min="10474" max="10474" width="8.140625" style="619" customWidth="1"/>
    <col min="10475" max="10475" width="7.28515625" style="619" customWidth="1"/>
    <col min="10476" max="10476" width="20.7109375" style="619" customWidth="1"/>
    <col min="10477" max="10477" width="15" style="619" customWidth="1"/>
    <col min="10478" max="10478" width="0.140625" style="619" customWidth="1"/>
    <col min="10479" max="10479" width="0" style="619" hidden="1" customWidth="1"/>
    <col min="10480" max="10480" width="78.85546875" style="619" customWidth="1"/>
    <col min="10481" max="10481" width="14.140625" style="619" customWidth="1"/>
    <col min="10482" max="10482" width="0.28515625" style="619" customWidth="1"/>
    <col min="10483" max="10483" width="11.7109375" style="619" customWidth="1"/>
    <col min="10484" max="10484" width="8.7109375" style="619" customWidth="1"/>
    <col min="10485" max="10485" width="0" style="619" hidden="1" customWidth="1"/>
    <col min="10486" max="10486" width="11.42578125" style="619" customWidth="1"/>
    <col min="10487" max="10489" width="0" style="619" hidden="1" customWidth="1"/>
    <col min="10490" max="10490" width="19" style="619" customWidth="1"/>
    <col min="10491" max="10491" width="17.28515625" style="619" customWidth="1"/>
    <col min="10492" max="10492" width="19.7109375" style="619" customWidth="1"/>
    <col min="10493" max="10493" width="20.7109375" style="619" customWidth="1"/>
    <col min="10494" max="10494" width="13.140625" style="619" bestFit="1" customWidth="1"/>
    <col min="10495" max="10495" width="21.5703125" style="619" customWidth="1"/>
    <col min="10496" max="10496" width="16" style="619" bestFit="1" customWidth="1"/>
    <col min="10497" max="10497" width="13.140625" style="619" bestFit="1" customWidth="1"/>
    <col min="10498" max="10498" width="38.28515625" style="619" bestFit="1" customWidth="1"/>
    <col min="10499" max="10499" width="1.28515625" style="619" customWidth="1"/>
    <col min="10500" max="10500" width="0" style="619" hidden="1" customWidth="1"/>
    <col min="10501" max="10725" width="11.42578125" style="619"/>
    <col min="10726" max="10726" width="1.42578125" style="619" customWidth="1"/>
    <col min="10727" max="10727" width="7.5703125" style="619" customWidth="1"/>
    <col min="10728" max="10728" width="4.85546875" style="619" customWidth="1"/>
    <col min="10729" max="10729" width="8" style="619" customWidth="1"/>
    <col min="10730" max="10730" width="8.140625" style="619" customWidth="1"/>
    <col min="10731" max="10731" width="7.28515625" style="619" customWidth="1"/>
    <col min="10732" max="10732" width="20.7109375" style="619" customWidth="1"/>
    <col min="10733" max="10733" width="15" style="619" customWidth="1"/>
    <col min="10734" max="10734" width="0.140625" style="619" customWidth="1"/>
    <col min="10735" max="10735" width="0" style="619" hidden="1" customWidth="1"/>
    <col min="10736" max="10736" width="78.85546875" style="619" customWidth="1"/>
    <col min="10737" max="10737" width="14.140625" style="619" customWidth="1"/>
    <col min="10738" max="10738" width="0.28515625" style="619" customWidth="1"/>
    <col min="10739" max="10739" width="11.7109375" style="619" customWidth="1"/>
    <col min="10740" max="10740" width="8.7109375" style="619" customWidth="1"/>
    <col min="10741" max="10741" width="0" style="619" hidden="1" customWidth="1"/>
    <col min="10742" max="10742" width="11.42578125" style="619" customWidth="1"/>
    <col min="10743" max="10745" width="0" style="619" hidden="1" customWidth="1"/>
    <col min="10746" max="10746" width="19" style="619" customWidth="1"/>
    <col min="10747" max="10747" width="17.28515625" style="619" customWidth="1"/>
    <col min="10748" max="10748" width="19.7109375" style="619" customWidth="1"/>
    <col min="10749" max="10749" width="20.7109375" style="619" customWidth="1"/>
    <col min="10750" max="10750" width="13.140625" style="619" bestFit="1" customWidth="1"/>
    <col min="10751" max="10751" width="21.5703125" style="619" customWidth="1"/>
    <col min="10752" max="10752" width="16" style="619" bestFit="1" customWidth="1"/>
    <col min="10753" max="10753" width="13.140625" style="619" bestFit="1" customWidth="1"/>
    <col min="10754" max="10754" width="38.28515625" style="619" bestFit="1" customWidth="1"/>
    <col min="10755" max="10755" width="1.28515625" style="619" customWidth="1"/>
    <col min="10756" max="10756" width="0" style="619" hidden="1" customWidth="1"/>
    <col min="10757" max="10981" width="11.42578125" style="619"/>
    <col min="10982" max="10982" width="1.42578125" style="619" customWidth="1"/>
    <col min="10983" max="10983" width="7.5703125" style="619" customWidth="1"/>
    <col min="10984" max="10984" width="4.85546875" style="619" customWidth="1"/>
    <col min="10985" max="10985" width="8" style="619" customWidth="1"/>
    <col min="10986" max="10986" width="8.140625" style="619" customWidth="1"/>
    <col min="10987" max="10987" width="7.28515625" style="619" customWidth="1"/>
    <col min="10988" max="10988" width="20.7109375" style="619" customWidth="1"/>
    <col min="10989" max="10989" width="15" style="619" customWidth="1"/>
    <col min="10990" max="10990" width="0.140625" style="619" customWidth="1"/>
    <col min="10991" max="10991" width="0" style="619" hidden="1" customWidth="1"/>
    <col min="10992" max="10992" width="78.85546875" style="619" customWidth="1"/>
    <col min="10993" max="10993" width="14.140625" style="619" customWidth="1"/>
    <col min="10994" max="10994" width="0.28515625" style="619" customWidth="1"/>
    <col min="10995" max="10995" width="11.7109375" style="619" customWidth="1"/>
    <col min="10996" max="10996" width="8.7109375" style="619" customWidth="1"/>
    <col min="10997" max="10997" width="0" style="619" hidden="1" customWidth="1"/>
    <col min="10998" max="10998" width="11.42578125" style="619" customWidth="1"/>
    <col min="10999" max="11001" width="0" style="619" hidden="1" customWidth="1"/>
    <col min="11002" max="11002" width="19" style="619" customWidth="1"/>
    <col min="11003" max="11003" width="17.28515625" style="619" customWidth="1"/>
    <col min="11004" max="11004" width="19.7109375" style="619" customWidth="1"/>
    <col min="11005" max="11005" width="20.7109375" style="619" customWidth="1"/>
    <col min="11006" max="11006" width="13.140625" style="619" bestFit="1" customWidth="1"/>
    <col min="11007" max="11007" width="21.5703125" style="619" customWidth="1"/>
    <col min="11008" max="11008" width="16" style="619" bestFit="1" customWidth="1"/>
    <col min="11009" max="11009" width="13.140625" style="619" bestFit="1" customWidth="1"/>
    <col min="11010" max="11010" width="38.28515625" style="619" bestFit="1" customWidth="1"/>
    <col min="11011" max="11011" width="1.28515625" style="619" customWidth="1"/>
    <col min="11012" max="11012" width="0" style="619" hidden="1" customWidth="1"/>
    <col min="11013" max="11237" width="11.42578125" style="619"/>
    <col min="11238" max="11238" width="1.42578125" style="619" customWidth="1"/>
    <col min="11239" max="11239" width="7.5703125" style="619" customWidth="1"/>
    <col min="11240" max="11240" width="4.85546875" style="619" customWidth="1"/>
    <col min="11241" max="11241" width="8" style="619" customWidth="1"/>
    <col min="11242" max="11242" width="8.140625" style="619" customWidth="1"/>
    <col min="11243" max="11243" width="7.28515625" style="619" customWidth="1"/>
    <col min="11244" max="11244" width="20.7109375" style="619" customWidth="1"/>
    <col min="11245" max="11245" width="15" style="619" customWidth="1"/>
    <col min="11246" max="11246" width="0.140625" style="619" customWidth="1"/>
    <col min="11247" max="11247" width="0" style="619" hidden="1" customWidth="1"/>
    <col min="11248" max="11248" width="78.85546875" style="619" customWidth="1"/>
    <col min="11249" max="11249" width="14.140625" style="619" customWidth="1"/>
    <col min="11250" max="11250" width="0.28515625" style="619" customWidth="1"/>
    <col min="11251" max="11251" width="11.7109375" style="619" customWidth="1"/>
    <col min="11252" max="11252" width="8.7109375" style="619" customWidth="1"/>
    <col min="11253" max="11253" width="0" style="619" hidden="1" customWidth="1"/>
    <col min="11254" max="11254" width="11.42578125" style="619" customWidth="1"/>
    <col min="11255" max="11257" width="0" style="619" hidden="1" customWidth="1"/>
    <col min="11258" max="11258" width="19" style="619" customWidth="1"/>
    <col min="11259" max="11259" width="17.28515625" style="619" customWidth="1"/>
    <col min="11260" max="11260" width="19.7109375" style="619" customWidth="1"/>
    <col min="11261" max="11261" width="20.7109375" style="619" customWidth="1"/>
    <col min="11262" max="11262" width="13.140625" style="619" bestFit="1" customWidth="1"/>
    <col min="11263" max="11263" width="21.5703125" style="619" customWidth="1"/>
    <col min="11264" max="11264" width="16" style="619" bestFit="1" customWidth="1"/>
    <col min="11265" max="11265" width="13.140625" style="619" bestFit="1" customWidth="1"/>
    <col min="11266" max="11266" width="38.28515625" style="619" bestFit="1" customWidth="1"/>
    <col min="11267" max="11267" width="1.28515625" style="619" customWidth="1"/>
    <col min="11268" max="11268" width="0" style="619" hidden="1" customWidth="1"/>
    <col min="11269" max="11493" width="11.42578125" style="619"/>
    <col min="11494" max="11494" width="1.42578125" style="619" customWidth="1"/>
    <col min="11495" max="11495" width="7.5703125" style="619" customWidth="1"/>
    <col min="11496" max="11496" width="4.85546875" style="619" customWidth="1"/>
    <col min="11497" max="11497" width="8" style="619" customWidth="1"/>
    <col min="11498" max="11498" width="8.140625" style="619" customWidth="1"/>
    <col min="11499" max="11499" width="7.28515625" style="619" customWidth="1"/>
    <col min="11500" max="11500" width="20.7109375" style="619" customWidth="1"/>
    <col min="11501" max="11501" width="15" style="619" customWidth="1"/>
    <col min="11502" max="11502" width="0.140625" style="619" customWidth="1"/>
    <col min="11503" max="11503" width="0" style="619" hidden="1" customWidth="1"/>
    <col min="11504" max="11504" width="78.85546875" style="619" customWidth="1"/>
    <col min="11505" max="11505" width="14.140625" style="619" customWidth="1"/>
    <col min="11506" max="11506" width="0.28515625" style="619" customWidth="1"/>
    <col min="11507" max="11507" width="11.7109375" style="619" customWidth="1"/>
    <col min="11508" max="11508" width="8.7109375" style="619" customWidth="1"/>
    <col min="11509" max="11509" width="0" style="619" hidden="1" customWidth="1"/>
    <col min="11510" max="11510" width="11.42578125" style="619" customWidth="1"/>
    <col min="11511" max="11513" width="0" style="619" hidden="1" customWidth="1"/>
    <col min="11514" max="11514" width="19" style="619" customWidth="1"/>
    <col min="11515" max="11515" width="17.28515625" style="619" customWidth="1"/>
    <col min="11516" max="11516" width="19.7109375" style="619" customWidth="1"/>
    <col min="11517" max="11517" width="20.7109375" style="619" customWidth="1"/>
    <col min="11518" max="11518" width="13.140625" style="619" bestFit="1" customWidth="1"/>
    <col min="11519" max="11519" width="21.5703125" style="619" customWidth="1"/>
    <col min="11520" max="11520" width="16" style="619" bestFit="1" customWidth="1"/>
    <col min="11521" max="11521" width="13.140625" style="619" bestFit="1" customWidth="1"/>
    <col min="11522" max="11522" width="38.28515625" style="619" bestFit="1" customWidth="1"/>
    <col min="11523" max="11523" width="1.28515625" style="619" customWidth="1"/>
    <col min="11524" max="11524" width="0" style="619" hidden="1" customWidth="1"/>
    <col min="11525" max="11749" width="11.42578125" style="619"/>
    <col min="11750" max="11750" width="1.42578125" style="619" customWidth="1"/>
    <col min="11751" max="11751" width="7.5703125" style="619" customWidth="1"/>
    <col min="11752" max="11752" width="4.85546875" style="619" customWidth="1"/>
    <col min="11753" max="11753" width="8" style="619" customWidth="1"/>
    <col min="11754" max="11754" width="8.140625" style="619" customWidth="1"/>
    <col min="11755" max="11755" width="7.28515625" style="619" customWidth="1"/>
    <col min="11756" max="11756" width="20.7109375" style="619" customWidth="1"/>
    <col min="11757" max="11757" width="15" style="619" customWidth="1"/>
    <col min="11758" max="11758" width="0.140625" style="619" customWidth="1"/>
    <col min="11759" max="11759" width="0" style="619" hidden="1" customWidth="1"/>
    <col min="11760" max="11760" width="78.85546875" style="619" customWidth="1"/>
    <col min="11761" max="11761" width="14.140625" style="619" customWidth="1"/>
    <col min="11762" max="11762" width="0.28515625" style="619" customWidth="1"/>
    <col min="11763" max="11763" width="11.7109375" style="619" customWidth="1"/>
    <col min="11764" max="11764" width="8.7109375" style="619" customWidth="1"/>
    <col min="11765" max="11765" width="0" style="619" hidden="1" customWidth="1"/>
    <col min="11766" max="11766" width="11.42578125" style="619" customWidth="1"/>
    <col min="11767" max="11769" width="0" style="619" hidden="1" customWidth="1"/>
    <col min="11770" max="11770" width="19" style="619" customWidth="1"/>
    <col min="11771" max="11771" width="17.28515625" style="619" customWidth="1"/>
    <col min="11772" max="11772" width="19.7109375" style="619" customWidth="1"/>
    <col min="11773" max="11773" width="20.7109375" style="619" customWidth="1"/>
    <col min="11774" max="11774" width="13.140625" style="619" bestFit="1" customWidth="1"/>
    <col min="11775" max="11775" width="21.5703125" style="619" customWidth="1"/>
    <col min="11776" max="11776" width="16" style="619" bestFit="1" customWidth="1"/>
    <col min="11777" max="11777" width="13.140625" style="619" bestFit="1" customWidth="1"/>
    <col min="11778" max="11778" width="38.28515625" style="619" bestFit="1" customWidth="1"/>
    <col min="11779" max="11779" width="1.28515625" style="619" customWidth="1"/>
    <col min="11780" max="11780" width="0" style="619" hidden="1" customWidth="1"/>
    <col min="11781" max="12005" width="11.42578125" style="619"/>
    <col min="12006" max="12006" width="1.42578125" style="619" customWidth="1"/>
    <col min="12007" max="12007" width="7.5703125" style="619" customWidth="1"/>
    <col min="12008" max="12008" width="4.85546875" style="619" customWidth="1"/>
    <col min="12009" max="12009" width="8" style="619" customWidth="1"/>
    <col min="12010" max="12010" width="8.140625" style="619" customWidth="1"/>
    <col min="12011" max="12011" width="7.28515625" style="619" customWidth="1"/>
    <col min="12012" max="12012" width="20.7109375" style="619" customWidth="1"/>
    <col min="12013" max="12013" width="15" style="619" customWidth="1"/>
    <col min="12014" max="12014" width="0.140625" style="619" customWidth="1"/>
    <col min="12015" max="12015" width="0" style="619" hidden="1" customWidth="1"/>
    <col min="12016" max="12016" width="78.85546875" style="619" customWidth="1"/>
    <col min="12017" max="12017" width="14.140625" style="619" customWidth="1"/>
    <col min="12018" max="12018" width="0.28515625" style="619" customWidth="1"/>
    <col min="12019" max="12019" width="11.7109375" style="619" customWidth="1"/>
    <col min="12020" max="12020" width="8.7109375" style="619" customWidth="1"/>
    <col min="12021" max="12021" width="0" style="619" hidden="1" customWidth="1"/>
    <col min="12022" max="12022" width="11.42578125" style="619" customWidth="1"/>
    <col min="12023" max="12025" width="0" style="619" hidden="1" customWidth="1"/>
    <col min="12026" max="12026" width="19" style="619" customWidth="1"/>
    <col min="12027" max="12027" width="17.28515625" style="619" customWidth="1"/>
    <col min="12028" max="12028" width="19.7109375" style="619" customWidth="1"/>
    <col min="12029" max="12029" width="20.7109375" style="619" customWidth="1"/>
    <col min="12030" max="12030" width="13.140625" style="619" bestFit="1" customWidth="1"/>
    <col min="12031" max="12031" width="21.5703125" style="619" customWidth="1"/>
    <col min="12032" max="12032" width="16" style="619" bestFit="1" customWidth="1"/>
    <col min="12033" max="12033" width="13.140625" style="619" bestFit="1" customWidth="1"/>
    <col min="12034" max="12034" width="38.28515625" style="619" bestFit="1" customWidth="1"/>
    <col min="12035" max="12035" width="1.28515625" style="619" customWidth="1"/>
    <col min="12036" max="12036" width="0" style="619" hidden="1" customWidth="1"/>
    <col min="12037" max="12261" width="11.42578125" style="619"/>
    <col min="12262" max="12262" width="1.42578125" style="619" customWidth="1"/>
    <col min="12263" max="12263" width="7.5703125" style="619" customWidth="1"/>
    <col min="12264" max="12264" width="4.85546875" style="619" customWidth="1"/>
    <col min="12265" max="12265" width="8" style="619" customWidth="1"/>
    <col min="12266" max="12266" width="8.140625" style="619" customWidth="1"/>
    <col min="12267" max="12267" width="7.28515625" style="619" customWidth="1"/>
    <col min="12268" max="12268" width="20.7109375" style="619" customWidth="1"/>
    <col min="12269" max="12269" width="15" style="619" customWidth="1"/>
    <col min="12270" max="12270" width="0.140625" style="619" customWidth="1"/>
    <col min="12271" max="12271" width="0" style="619" hidden="1" customWidth="1"/>
    <col min="12272" max="12272" width="78.85546875" style="619" customWidth="1"/>
    <col min="12273" max="12273" width="14.140625" style="619" customWidth="1"/>
    <col min="12274" max="12274" width="0.28515625" style="619" customWidth="1"/>
    <col min="12275" max="12275" width="11.7109375" style="619" customWidth="1"/>
    <col min="12276" max="12276" width="8.7109375" style="619" customWidth="1"/>
    <col min="12277" max="12277" width="0" style="619" hidden="1" customWidth="1"/>
    <col min="12278" max="12278" width="11.42578125" style="619" customWidth="1"/>
    <col min="12279" max="12281" width="0" style="619" hidden="1" customWidth="1"/>
    <col min="12282" max="12282" width="19" style="619" customWidth="1"/>
    <col min="12283" max="12283" width="17.28515625" style="619" customWidth="1"/>
    <col min="12284" max="12284" width="19.7109375" style="619" customWidth="1"/>
    <col min="12285" max="12285" width="20.7109375" style="619" customWidth="1"/>
    <col min="12286" max="12286" width="13.140625" style="619" bestFit="1" customWidth="1"/>
    <col min="12287" max="12287" width="21.5703125" style="619" customWidth="1"/>
    <col min="12288" max="12288" width="16" style="619" bestFit="1" customWidth="1"/>
    <col min="12289" max="12289" width="13.140625" style="619" bestFit="1" customWidth="1"/>
    <col min="12290" max="12290" width="38.28515625" style="619" bestFit="1" customWidth="1"/>
    <col min="12291" max="12291" width="1.28515625" style="619" customWidth="1"/>
    <col min="12292" max="12292" width="0" style="619" hidden="1" customWidth="1"/>
    <col min="12293" max="12517" width="11.42578125" style="619"/>
    <col min="12518" max="12518" width="1.42578125" style="619" customWidth="1"/>
    <col min="12519" max="12519" width="7.5703125" style="619" customWidth="1"/>
    <col min="12520" max="12520" width="4.85546875" style="619" customWidth="1"/>
    <col min="12521" max="12521" width="8" style="619" customWidth="1"/>
    <col min="12522" max="12522" width="8.140625" style="619" customWidth="1"/>
    <col min="12523" max="12523" width="7.28515625" style="619" customWidth="1"/>
    <col min="12524" max="12524" width="20.7109375" style="619" customWidth="1"/>
    <col min="12525" max="12525" width="15" style="619" customWidth="1"/>
    <col min="12526" max="12526" width="0.140625" style="619" customWidth="1"/>
    <col min="12527" max="12527" width="0" style="619" hidden="1" customWidth="1"/>
    <col min="12528" max="12528" width="78.85546875" style="619" customWidth="1"/>
    <col min="12529" max="12529" width="14.140625" style="619" customWidth="1"/>
    <col min="12530" max="12530" width="0.28515625" style="619" customWidth="1"/>
    <col min="12531" max="12531" width="11.7109375" style="619" customWidth="1"/>
    <col min="12532" max="12532" width="8.7109375" style="619" customWidth="1"/>
    <col min="12533" max="12533" width="0" style="619" hidden="1" customWidth="1"/>
    <col min="12534" max="12534" width="11.42578125" style="619" customWidth="1"/>
    <col min="12535" max="12537" width="0" style="619" hidden="1" customWidth="1"/>
    <col min="12538" max="12538" width="19" style="619" customWidth="1"/>
    <col min="12539" max="12539" width="17.28515625" style="619" customWidth="1"/>
    <col min="12540" max="12540" width="19.7109375" style="619" customWidth="1"/>
    <col min="12541" max="12541" width="20.7109375" style="619" customWidth="1"/>
    <col min="12542" max="12542" width="13.140625" style="619" bestFit="1" customWidth="1"/>
    <col min="12543" max="12543" width="21.5703125" style="619" customWidth="1"/>
    <col min="12544" max="12544" width="16" style="619" bestFit="1" customWidth="1"/>
    <col min="12545" max="12545" width="13.140625" style="619" bestFit="1" customWidth="1"/>
    <col min="12546" max="12546" width="38.28515625" style="619" bestFit="1" customWidth="1"/>
    <col min="12547" max="12547" width="1.28515625" style="619" customWidth="1"/>
    <col min="12548" max="12548" width="0" style="619" hidden="1" customWidth="1"/>
    <col min="12549" max="12773" width="11.42578125" style="619"/>
    <col min="12774" max="12774" width="1.42578125" style="619" customWidth="1"/>
    <col min="12775" max="12775" width="7.5703125" style="619" customWidth="1"/>
    <col min="12776" max="12776" width="4.85546875" style="619" customWidth="1"/>
    <col min="12777" max="12777" width="8" style="619" customWidth="1"/>
    <col min="12778" max="12778" width="8.140625" style="619" customWidth="1"/>
    <col min="12779" max="12779" width="7.28515625" style="619" customWidth="1"/>
    <col min="12780" max="12780" width="20.7109375" style="619" customWidth="1"/>
    <col min="12781" max="12781" width="15" style="619" customWidth="1"/>
    <col min="12782" max="12782" width="0.140625" style="619" customWidth="1"/>
    <col min="12783" max="12783" width="0" style="619" hidden="1" customWidth="1"/>
    <col min="12784" max="12784" width="78.85546875" style="619" customWidth="1"/>
    <col min="12785" max="12785" width="14.140625" style="619" customWidth="1"/>
    <col min="12786" max="12786" width="0.28515625" style="619" customWidth="1"/>
    <col min="12787" max="12787" width="11.7109375" style="619" customWidth="1"/>
    <col min="12788" max="12788" width="8.7109375" style="619" customWidth="1"/>
    <col min="12789" max="12789" width="0" style="619" hidden="1" customWidth="1"/>
    <col min="12790" max="12790" width="11.42578125" style="619" customWidth="1"/>
    <col min="12791" max="12793" width="0" style="619" hidden="1" customWidth="1"/>
    <col min="12794" max="12794" width="19" style="619" customWidth="1"/>
    <col min="12795" max="12795" width="17.28515625" style="619" customWidth="1"/>
    <col min="12796" max="12796" width="19.7109375" style="619" customWidth="1"/>
    <col min="12797" max="12797" width="20.7109375" style="619" customWidth="1"/>
    <col min="12798" max="12798" width="13.140625" style="619" bestFit="1" customWidth="1"/>
    <col min="12799" max="12799" width="21.5703125" style="619" customWidth="1"/>
    <col min="12800" max="12800" width="16" style="619" bestFit="1" customWidth="1"/>
    <col min="12801" max="12801" width="13.140625" style="619" bestFit="1" customWidth="1"/>
    <col min="12802" max="12802" width="38.28515625" style="619" bestFit="1" customWidth="1"/>
    <col min="12803" max="12803" width="1.28515625" style="619" customWidth="1"/>
    <col min="12804" max="12804" width="0" style="619" hidden="1" customWidth="1"/>
    <col min="12805" max="13029" width="11.42578125" style="619"/>
    <col min="13030" max="13030" width="1.42578125" style="619" customWidth="1"/>
    <col min="13031" max="13031" width="7.5703125" style="619" customWidth="1"/>
    <col min="13032" max="13032" width="4.85546875" style="619" customWidth="1"/>
    <col min="13033" max="13033" width="8" style="619" customWidth="1"/>
    <col min="13034" max="13034" width="8.140625" style="619" customWidth="1"/>
    <col min="13035" max="13035" width="7.28515625" style="619" customWidth="1"/>
    <col min="13036" max="13036" width="20.7109375" style="619" customWidth="1"/>
    <col min="13037" max="13037" width="15" style="619" customWidth="1"/>
    <col min="13038" max="13038" width="0.140625" style="619" customWidth="1"/>
    <col min="13039" max="13039" width="0" style="619" hidden="1" customWidth="1"/>
    <col min="13040" max="13040" width="78.85546875" style="619" customWidth="1"/>
    <col min="13041" max="13041" width="14.140625" style="619" customWidth="1"/>
    <col min="13042" max="13042" width="0.28515625" style="619" customWidth="1"/>
    <col min="13043" max="13043" width="11.7109375" style="619" customWidth="1"/>
    <col min="13044" max="13044" width="8.7109375" style="619" customWidth="1"/>
    <col min="13045" max="13045" width="0" style="619" hidden="1" customWidth="1"/>
    <col min="13046" max="13046" width="11.42578125" style="619" customWidth="1"/>
    <col min="13047" max="13049" width="0" style="619" hidden="1" customWidth="1"/>
    <col min="13050" max="13050" width="19" style="619" customWidth="1"/>
    <col min="13051" max="13051" width="17.28515625" style="619" customWidth="1"/>
    <col min="13052" max="13052" width="19.7109375" style="619" customWidth="1"/>
    <col min="13053" max="13053" width="20.7109375" style="619" customWidth="1"/>
    <col min="13054" max="13054" width="13.140625" style="619" bestFit="1" customWidth="1"/>
    <col min="13055" max="13055" width="21.5703125" style="619" customWidth="1"/>
    <col min="13056" max="13056" width="16" style="619" bestFit="1" customWidth="1"/>
    <col min="13057" max="13057" width="13.140625" style="619" bestFit="1" customWidth="1"/>
    <col min="13058" max="13058" width="38.28515625" style="619" bestFit="1" customWidth="1"/>
    <col min="13059" max="13059" width="1.28515625" style="619" customWidth="1"/>
    <col min="13060" max="13060" width="0" style="619" hidden="1" customWidth="1"/>
    <col min="13061" max="13285" width="11.42578125" style="619"/>
    <col min="13286" max="13286" width="1.42578125" style="619" customWidth="1"/>
    <col min="13287" max="13287" width="7.5703125" style="619" customWidth="1"/>
    <col min="13288" max="13288" width="4.85546875" style="619" customWidth="1"/>
    <col min="13289" max="13289" width="8" style="619" customWidth="1"/>
    <col min="13290" max="13290" width="8.140625" style="619" customWidth="1"/>
    <col min="13291" max="13291" width="7.28515625" style="619" customWidth="1"/>
    <col min="13292" max="13292" width="20.7109375" style="619" customWidth="1"/>
    <col min="13293" max="13293" width="15" style="619" customWidth="1"/>
    <col min="13294" max="13294" width="0.140625" style="619" customWidth="1"/>
    <col min="13295" max="13295" width="0" style="619" hidden="1" customWidth="1"/>
    <col min="13296" max="13296" width="78.85546875" style="619" customWidth="1"/>
    <col min="13297" max="13297" width="14.140625" style="619" customWidth="1"/>
    <col min="13298" max="13298" width="0.28515625" style="619" customWidth="1"/>
    <col min="13299" max="13299" width="11.7109375" style="619" customWidth="1"/>
    <col min="13300" max="13300" width="8.7109375" style="619" customWidth="1"/>
    <col min="13301" max="13301" width="0" style="619" hidden="1" customWidth="1"/>
    <col min="13302" max="13302" width="11.42578125" style="619" customWidth="1"/>
    <col min="13303" max="13305" width="0" style="619" hidden="1" customWidth="1"/>
    <col min="13306" max="13306" width="19" style="619" customWidth="1"/>
    <col min="13307" max="13307" width="17.28515625" style="619" customWidth="1"/>
    <col min="13308" max="13308" width="19.7109375" style="619" customWidth="1"/>
    <col min="13309" max="13309" width="20.7109375" style="619" customWidth="1"/>
    <col min="13310" max="13310" width="13.140625" style="619" bestFit="1" customWidth="1"/>
    <col min="13311" max="13311" width="21.5703125" style="619" customWidth="1"/>
    <col min="13312" max="13312" width="16" style="619" bestFit="1" customWidth="1"/>
    <col min="13313" max="13313" width="13.140625" style="619" bestFit="1" customWidth="1"/>
    <col min="13314" max="13314" width="38.28515625" style="619" bestFit="1" customWidth="1"/>
    <col min="13315" max="13315" width="1.28515625" style="619" customWidth="1"/>
    <col min="13316" max="13316" width="0" style="619" hidden="1" customWidth="1"/>
    <col min="13317" max="13541" width="11.42578125" style="619"/>
    <col min="13542" max="13542" width="1.42578125" style="619" customWidth="1"/>
    <col min="13543" max="13543" width="7.5703125" style="619" customWidth="1"/>
    <col min="13544" max="13544" width="4.85546875" style="619" customWidth="1"/>
    <col min="13545" max="13545" width="8" style="619" customWidth="1"/>
    <col min="13546" max="13546" width="8.140625" style="619" customWidth="1"/>
    <col min="13547" max="13547" width="7.28515625" style="619" customWidth="1"/>
    <col min="13548" max="13548" width="20.7109375" style="619" customWidth="1"/>
    <col min="13549" max="13549" width="15" style="619" customWidth="1"/>
    <col min="13550" max="13550" width="0.140625" style="619" customWidth="1"/>
    <col min="13551" max="13551" width="0" style="619" hidden="1" customWidth="1"/>
    <col min="13552" max="13552" width="78.85546875" style="619" customWidth="1"/>
    <col min="13553" max="13553" width="14.140625" style="619" customWidth="1"/>
    <col min="13554" max="13554" width="0.28515625" style="619" customWidth="1"/>
    <col min="13555" max="13555" width="11.7109375" style="619" customWidth="1"/>
    <col min="13556" max="13556" width="8.7109375" style="619" customWidth="1"/>
    <col min="13557" max="13557" width="0" style="619" hidden="1" customWidth="1"/>
    <col min="13558" max="13558" width="11.42578125" style="619" customWidth="1"/>
    <col min="13559" max="13561" width="0" style="619" hidden="1" customWidth="1"/>
    <col min="13562" max="13562" width="19" style="619" customWidth="1"/>
    <col min="13563" max="13563" width="17.28515625" style="619" customWidth="1"/>
    <col min="13564" max="13564" width="19.7109375" style="619" customWidth="1"/>
    <col min="13565" max="13565" width="20.7109375" style="619" customWidth="1"/>
    <col min="13566" max="13566" width="13.140625" style="619" bestFit="1" customWidth="1"/>
    <col min="13567" max="13567" width="21.5703125" style="619" customWidth="1"/>
    <col min="13568" max="13568" width="16" style="619" bestFit="1" customWidth="1"/>
    <col min="13569" max="13569" width="13.140625" style="619" bestFit="1" customWidth="1"/>
    <col min="13570" max="13570" width="38.28515625" style="619" bestFit="1" customWidth="1"/>
    <col min="13571" max="13571" width="1.28515625" style="619" customWidth="1"/>
    <col min="13572" max="13572" width="0" style="619" hidden="1" customWidth="1"/>
    <col min="13573" max="13797" width="11.42578125" style="619"/>
    <col min="13798" max="13798" width="1.42578125" style="619" customWidth="1"/>
    <col min="13799" max="13799" width="7.5703125" style="619" customWidth="1"/>
    <col min="13800" max="13800" width="4.85546875" style="619" customWidth="1"/>
    <col min="13801" max="13801" width="8" style="619" customWidth="1"/>
    <col min="13802" max="13802" width="8.140625" style="619" customWidth="1"/>
    <col min="13803" max="13803" width="7.28515625" style="619" customWidth="1"/>
    <col min="13804" max="13804" width="20.7109375" style="619" customWidth="1"/>
    <col min="13805" max="13805" width="15" style="619" customWidth="1"/>
    <col min="13806" max="13806" width="0.140625" style="619" customWidth="1"/>
    <col min="13807" max="13807" width="0" style="619" hidden="1" customWidth="1"/>
    <col min="13808" max="13808" width="78.85546875" style="619" customWidth="1"/>
    <col min="13809" max="13809" width="14.140625" style="619" customWidth="1"/>
    <col min="13810" max="13810" width="0.28515625" style="619" customWidth="1"/>
    <col min="13811" max="13811" width="11.7109375" style="619" customWidth="1"/>
    <col min="13812" max="13812" width="8.7109375" style="619" customWidth="1"/>
    <col min="13813" max="13813" width="0" style="619" hidden="1" customWidth="1"/>
    <col min="13814" max="13814" width="11.42578125" style="619" customWidth="1"/>
    <col min="13815" max="13817" width="0" style="619" hidden="1" customWidth="1"/>
    <col min="13818" max="13818" width="19" style="619" customWidth="1"/>
    <col min="13819" max="13819" width="17.28515625" style="619" customWidth="1"/>
    <col min="13820" max="13820" width="19.7109375" style="619" customWidth="1"/>
    <col min="13821" max="13821" width="20.7109375" style="619" customWidth="1"/>
    <col min="13822" max="13822" width="13.140625" style="619" bestFit="1" customWidth="1"/>
    <col min="13823" max="13823" width="21.5703125" style="619" customWidth="1"/>
    <col min="13824" max="13824" width="16" style="619" bestFit="1" customWidth="1"/>
    <col min="13825" max="13825" width="13.140625" style="619" bestFit="1" customWidth="1"/>
    <col min="13826" max="13826" width="38.28515625" style="619" bestFit="1" customWidth="1"/>
    <col min="13827" max="13827" width="1.28515625" style="619" customWidth="1"/>
    <col min="13828" max="13828" width="0" style="619" hidden="1" customWidth="1"/>
    <col min="13829" max="14053" width="11.42578125" style="619"/>
    <col min="14054" max="14054" width="1.42578125" style="619" customWidth="1"/>
    <col min="14055" max="14055" width="7.5703125" style="619" customWidth="1"/>
    <col min="14056" max="14056" width="4.85546875" style="619" customWidth="1"/>
    <col min="14057" max="14057" width="8" style="619" customWidth="1"/>
    <col min="14058" max="14058" width="8.140625" style="619" customWidth="1"/>
    <col min="14059" max="14059" width="7.28515625" style="619" customWidth="1"/>
    <col min="14060" max="14060" width="20.7109375" style="619" customWidth="1"/>
    <col min="14061" max="14061" width="15" style="619" customWidth="1"/>
    <col min="14062" max="14062" width="0.140625" style="619" customWidth="1"/>
    <col min="14063" max="14063" width="0" style="619" hidden="1" customWidth="1"/>
    <col min="14064" max="14064" width="78.85546875" style="619" customWidth="1"/>
    <col min="14065" max="14065" width="14.140625" style="619" customWidth="1"/>
    <col min="14066" max="14066" width="0.28515625" style="619" customWidth="1"/>
    <col min="14067" max="14067" width="11.7109375" style="619" customWidth="1"/>
    <col min="14068" max="14068" width="8.7109375" style="619" customWidth="1"/>
    <col min="14069" max="14069" width="0" style="619" hidden="1" customWidth="1"/>
    <col min="14070" max="14070" width="11.42578125" style="619" customWidth="1"/>
    <col min="14071" max="14073" width="0" style="619" hidden="1" customWidth="1"/>
    <col min="14074" max="14074" width="19" style="619" customWidth="1"/>
    <col min="14075" max="14075" width="17.28515625" style="619" customWidth="1"/>
    <col min="14076" max="14076" width="19.7109375" style="619" customWidth="1"/>
    <col min="14077" max="14077" width="20.7109375" style="619" customWidth="1"/>
    <col min="14078" max="14078" width="13.140625" style="619" bestFit="1" customWidth="1"/>
    <col min="14079" max="14079" width="21.5703125" style="619" customWidth="1"/>
    <col min="14080" max="14080" width="16" style="619" bestFit="1" customWidth="1"/>
    <col min="14081" max="14081" width="13.140625" style="619" bestFit="1" customWidth="1"/>
    <col min="14082" max="14082" width="38.28515625" style="619" bestFit="1" customWidth="1"/>
    <col min="14083" max="14083" width="1.28515625" style="619" customWidth="1"/>
    <col min="14084" max="14084" width="0" style="619" hidden="1" customWidth="1"/>
    <col min="14085" max="14309" width="11.42578125" style="619"/>
    <col min="14310" max="14310" width="1.42578125" style="619" customWidth="1"/>
    <col min="14311" max="14311" width="7.5703125" style="619" customWidth="1"/>
    <col min="14312" max="14312" width="4.85546875" style="619" customWidth="1"/>
    <col min="14313" max="14313" width="8" style="619" customWidth="1"/>
    <col min="14314" max="14314" width="8.140625" style="619" customWidth="1"/>
    <col min="14315" max="14315" width="7.28515625" style="619" customWidth="1"/>
    <col min="14316" max="14316" width="20.7109375" style="619" customWidth="1"/>
    <col min="14317" max="14317" width="15" style="619" customWidth="1"/>
    <col min="14318" max="14318" width="0.140625" style="619" customWidth="1"/>
    <col min="14319" max="14319" width="0" style="619" hidden="1" customWidth="1"/>
    <col min="14320" max="14320" width="78.85546875" style="619" customWidth="1"/>
    <col min="14321" max="14321" width="14.140625" style="619" customWidth="1"/>
    <col min="14322" max="14322" width="0.28515625" style="619" customWidth="1"/>
    <col min="14323" max="14323" width="11.7109375" style="619" customWidth="1"/>
    <col min="14324" max="14324" width="8.7109375" style="619" customWidth="1"/>
    <col min="14325" max="14325" width="0" style="619" hidden="1" customWidth="1"/>
    <col min="14326" max="14326" width="11.42578125" style="619" customWidth="1"/>
    <col min="14327" max="14329" width="0" style="619" hidden="1" customWidth="1"/>
    <col min="14330" max="14330" width="19" style="619" customWidth="1"/>
    <col min="14331" max="14331" width="17.28515625" style="619" customWidth="1"/>
    <col min="14332" max="14332" width="19.7109375" style="619" customWidth="1"/>
    <col min="14333" max="14333" width="20.7109375" style="619" customWidth="1"/>
    <col min="14334" max="14334" width="13.140625" style="619" bestFit="1" customWidth="1"/>
    <col min="14335" max="14335" width="21.5703125" style="619" customWidth="1"/>
    <col min="14336" max="14336" width="16" style="619" bestFit="1" customWidth="1"/>
    <col min="14337" max="14337" width="13.140625" style="619" bestFit="1" customWidth="1"/>
    <col min="14338" max="14338" width="38.28515625" style="619" bestFit="1" customWidth="1"/>
    <col min="14339" max="14339" width="1.28515625" style="619" customWidth="1"/>
    <col min="14340" max="14340" width="0" style="619" hidden="1" customWidth="1"/>
    <col min="14341" max="14565" width="11.42578125" style="619"/>
    <col min="14566" max="14566" width="1.42578125" style="619" customWidth="1"/>
    <col min="14567" max="14567" width="7.5703125" style="619" customWidth="1"/>
    <col min="14568" max="14568" width="4.85546875" style="619" customWidth="1"/>
    <col min="14569" max="14569" width="8" style="619" customWidth="1"/>
    <col min="14570" max="14570" width="8.140625" style="619" customWidth="1"/>
    <col min="14571" max="14571" width="7.28515625" style="619" customWidth="1"/>
    <col min="14572" max="14572" width="20.7109375" style="619" customWidth="1"/>
    <col min="14573" max="14573" width="15" style="619" customWidth="1"/>
    <col min="14574" max="14574" width="0.140625" style="619" customWidth="1"/>
    <col min="14575" max="14575" width="0" style="619" hidden="1" customWidth="1"/>
    <col min="14576" max="14576" width="78.85546875" style="619" customWidth="1"/>
    <col min="14577" max="14577" width="14.140625" style="619" customWidth="1"/>
    <col min="14578" max="14578" width="0.28515625" style="619" customWidth="1"/>
    <col min="14579" max="14579" width="11.7109375" style="619" customWidth="1"/>
    <col min="14580" max="14580" width="8.7109375" style="619" customWidth="1"/>
    <col min="14581" max="14581" width="0" style="619" hidden="1" customWidth="1"/>
    <col min="14582" max="14582" width="11.42578125" style="619" customWidth="1"/>
    <col min="14583" max="14585" width="0" style="619" hidden="1" customWidth="1"/>
    <col min="14586" max="14586" width="19" style="619" customWidth="1"/>
    <col min="14587" max="14587" width="17.28515625" style="619" customWidth="1"/>
    <col min="14588" max="14588" width="19.7109375" style="619" customWidth="1"/>
    <col min="14589" max="14589" width="20.7109375" style="619" customWidth="1"/>
    <col min="14590" max="14590" width="13.140625" style="619" bestFit="1" customWidth="1"/>
    <col min="14591" max="14591" width="21.5703125" style="619" customWidth="1"/>
    <col min="14592" max="14592" width="16" style="619" bestFit="1" customWidth="1"/>
    <col min="14593" max="14593" width="13.140625" style="619" bestFit="1" customWidth="1"/>
    <col min="14594" max="14594" width="38.28515625" style="619" bestFit="1" customWidth="1"/>
    <col min="14595" max="14595" width="1.28515625" style="619" customWidth="1"/>
    <col min="14596" max="14596" width="0" style="619" hidden="1" customWidth="1"/>
    <col min="14597" max="14821" width="11.42578125" style="619"/>
    <col min="14822" max="14822" width="1.42578125" style="619" customWidth="1"/>
    <col min="14823" max="14823" width="7.5703125" style="619" customWidth="1"/>
    <col min="14824" max="14824" width="4.85546875" style="619" customWidth="1"/>
    <col min="14825" max="14825" width="8" style="619" customWidth="1"/>
    <col min="14826" max="14826" width="8.140625" style="619" customWidth="1"/>
    <col min="14827" max="14827" width="7.28515625" style="619" customWidth="1"/>
    <col min="14828" max="14828" width="20.7109375" style="619" customWidth="1"/>
    <col min="14829" max="14829" width="15" style="619" customWidth="1"/>
    <col min="14830" max="14830" width="0.140625" style="619" customWidth="1"/>
    <col min="14831" max="14831" width="0" style="619" hidden="1" customWidth="1"/>
    <col min="14832" max="14832" width="78.85546875" style="619" customWidth="1"/>
    <col min="14833" max="14833" width="14.140625" style="619" customWidth="1"/>
    <col min="14834" max="14834" width="0.28515625" style="619" customWidth="1"/>
    <col min="14835" max="14835" width="11.7109375" style="619" customWidth="1"/>
    <col min="14836" max="14836" width="8.7109375" style="619" customWidth="1"/>
    <col min="14837" max="14837" width="0" style="619" hidden="1" customWidth="1"/>
    <col min="14838" max="14838" width="11.42578125" style="619" customWidth="1"/>
    <col min="14839" max="14841" width="0" style="619" hidden="1" customWidth="1"/>
    <col min="14842" max="14842" width="19" style="619" customWidth="1"/>
    <col min="14843" max="14843" width="17.28515625" style="619" customWidth="1"/>
    <col min="14844" max="14844" width="19.7109375" style="619" customWidth="1"/>
    <col min="14845" max="14845" width="20.7109375" style="619" customWidth="1"/>
    <col min="14846" max="14846" width="13.140625" style="619" bestFit="1" customWidth="1"/>
    <col min="14847" max="14847" width="21.5703125" style="619" customWidth="1"/>
    <col min="14848" max="14848" width="16" style="619" bestFit="1" customWidth="1"/>
    <col min="14849" max="14849" width="13.140625" style="619" bestFit="1" customWidth="1"/>
    <col min="14850" max="14850" width="38.28515625" style="619" bestFit="1" customWidth="1"/>
    <col min="14851" max="14851" width="1.28515625" style="619" customWidth="1"/>
    <col min="14852" max="14852" width="0" style="619" hidden="1" customWidth="1"/>
    <col min="14853" max="15077" width="11.42578125" style="619"/>
    <col min="15078" max="15078" width="1.42578125" style="619" customWidth="1"/>
    <col min="15079" max="15079" width="7.5703125" style="619" customWidth="1"/>
    <col min="15080" max="15080" width="4.85546875" style="619" customWidth="1"/>
    <col min="15081" max="15081" width="8" style="619" customWidth="1"/>
    <col min="15082" max="15082" width="8.140625" style="619" customWidth="1"/>
    <col min="15083" max="15083" width="7.28515625" style="619" customWidth="1"/>
    <col min="15084" max="15084" width="20.7109375" style="619" customWidth="1"/>
    <col min="15085" max="15085" width="15" style="619" customWidth="1"/>
    <col min="15086" max="15086" width="0.140625" style="619" customWidth="1"/>
    <col min="15087" max="15087" width="0" style="619" hidden="1" customWidth="1"/>
    <col min="15088" max="15088" width="78.85546875" style="619" customWidth="1"/>
    <col min="15089" max="15089" width="14.140625" style="619" customWidth="1"/>
    <col min="15090" max="15090" width="0.28515625" style="619" customWidth="1"/>
    <col min="15091" max="15091" width="11.7109375" style="619" customWidth="1"/>
    <col min="15092" max="15092" width="8.7109375" style="619" customWidth="1"/>
    <col min="15093" max="15093" width="0" style="619" hidden="1" customWidth="1"/>
    <col min="15094" max="15094" width="11.42578125" style="619" customWidth="1"/>
    <col min="15095" max="15097" width="0" style="619" hidden="1" customWidth="1"/>
    <col min="15098" max="15098" width="19" style="619" customWidth="1"/>
    <col min="15099" max="15099" width="17.28515625" style="619" customWidth="1"/>
    <col min="15100" max="15100" width="19.7109375" style="619" customWidth="1"/>
    <col min="15101" max="15101" width="20.7109375" style="619" customWidth="1"/>
    <col min="15102" max="15102" width="13.140625" style="619" bestFit="1" customWidth="1"/>
    <col min="15103" max="15103" width="21.5703125" style="619" customWidth="1"/>
    <col min="15104" max="15104" width="16" style="619" bestFit="1" customWidth="1"/>
    <col min="15105" max="15105" width="13.140625" style="619" bestFit="1" customWidth="1"/>
    <col min="15106" max="15106" width="38.28515625" style="619" bestFit="1" customWidth="1"/>
    <col min="15107" max="15107" width="1.28515625" style="619" customWidth="1"/>
    <col min="15108" max="15108" width="0" style="619" hidden="1" customWidth="1"/>
    <col min="15109" max="15333" width="11.42578125" style="619"/>
    <col min="15334" max="15334" width="1.42578125" style="619" customWidth="1"/>
    <col min="15335" max="15335" width="7.5703125" style="619" customWidth="1"/>
    <col min="15336" max="15336" width="4.85546875" style="619" customWidth="1"/>
    <col min="15337" max="15337" width="8" style="619" customWidth="1"/>
    <col min="15338" max="15338" width="8.140625" style="619" customWidth="1"/>
    <col min="15339" max="15339" width="7.28515625" style="619" customWidth="1"/>
    <col min="15340" max="15340" width="20.7109375" style="619" customWidth="1"/>
    <col min="15341" max="15341" width="15" style="619" customWidth="1"/>
    <col min="15342" max="15342" width="0.140625" style="619" customWidth="1"/>
    <col min="15343" max="15343" width="0" style="619" hidden="1" customWidth="1"/>
    <col min="15344" max="15344" width="78.85546875" style="619" customWidth="1"/>
    <col min="15345" max="15345" width="14.140625" style="619" customWidth="1"/>
    <col min="15346" max="15346" width="0.28515625" style="619" customWidth="1"/>
    <col min="15347" max="15347" width="11.7109375" style="619" customWidth="1"/>
    <col min="15348" max="15348" width="8.7109375" style="619" customWidth="1"/>
    <col min="15349" max="15349" width="0" style="619" hidden="1" customWidth="1"/>
    <col min="15350" max="15350" width="11.42578125" style="619" customWidth="1"/>
    <col min="15351" max="15353" width="0" style="619" hidden="1" customWidth="1"/>
    <col min="15354" max="15354" width="19" style="619" customWidth="1"/>
    <col min="15355" max="15355" width="17.28515625" style="619" customWidth="1"/>
    <col min="15356" max="15356" width="19.7109375" style="619" customWidth="1"/>
    <col min="15357" max="15357" width="20.7109375" style="619" customWidth="1"/>
    <col min="15358" max="15358" width="13.140625" style="619" bestFit="1" customWidth="1"/>
    <col min="15359" max="15359" width="21.5703125" style="619" customWidth="1"/>
    <col min="15360" max="15360" width="16" style="619" bestFit="1" customWidth="1"/>
    <col min="15361" max="15361" width="13.140625" style="619" bestFit="1" customWidth="1"/>
    <col min="15362" max="15362" width="38.28515625" style="619" bestFit="1" customWidth="1"/>
    <col min="15363" max="15363" width="1.28515625" style="619" customWidth="1"/>
    <col min="15364" max="15364" width="0" style="619" hidden="1" customWidth="1"/>
    <col min="15365" max="15589" width="11.42578125" style="619"/>
    <col min="15590" max="15590" width="1.42578125" style="619" customWidth="1"/>
    <col min="15591" max="15591" width="7.5703125" style="619" customWidth="1"/>
    <col min="15592" max="15592" width="4.85546875" style="619" customWidth="1"/>
    <col min="15593" max="15593" width="8" style="619" customWidth="1"/>
    <col min="15594" max="15594" width="8.140625" style="619" customWidth="1"/>
    <col min="15595" max="15595" width="7.28515625" style="619" customWidth="1"/>
    <col min="15596" max="15596" width="20.7109375" style="619" customWidth="1"/>
    <col min="15597" max="15597" width="15" style="619" customWidth="1"/>
    <col min="15598" max="15598" width="0.140625" style="619" customWidth="1"/>
    <col min="15599" max="15599" width="0" style="619" hidden="1" customWidth="1"/>
    <col min="15600" max="15600" width="78.85546875" style="619" customWidth="1"/>
    <col min="15601" max="15601" width="14.140625" style="619" customWidth="1"/>
    <col min="15602" max="15602" width="0.28515625" style="619" customWidth="1"/>
    <col min="15603" max="15603" width="11.7109375" style="619" customWidth="1"/>
    <col min="15604" max="15604" width="8.7109375" style="619" customWidth="1"/>
    <col min="15605" max="15605" width="0" style="619" hidden="1" customWidth="1"/>
    <col min="15606" max="15606" width="11.42578125" style="619" customWidth="1"/>
    <col min="15607" max="15609" width="0" style="619" hidden="1" customWidth="1"/>
    <col min="15610" max="15610" width="19" style="619" customWidth="1"/>
    <col min="15611" max="15611" width="17.28515625" style="619" customWidth="1"/>
    <col min="15612" max="15612" width="19.7109375" style="619" customWidth="1"/>
    <col min="15613" max="15613" width="20.7109375" style="619" customWidth="1"/>
    <col min="15614" max="15614" width="13.140625" style="619" bestFit="1" customWidth="1"/>
    <col min="15615" max="15615" width="21.5703125" style="619" customWidth="1"/>
    <col min="15616" max="15616" width="16" style="619" bestFit="1" customWidth="1"/>
    <col min="15617" max="15617" width="13.140625" style="619" bestFit="1" customWidth="1"/>
    <col min="15618" max="15618" width="38.28515625" style="619" bestFit="1" customWidth="1"/>
    <col min="15619" max="15619" width="1.28515625" style="619" customWidth="1"/>
    <col min="15620" max="15620" width="0" style="619" hidden="1" customWidth="1"/>
    <col min="15621" max="15845" width="11.42578125" style="619"/>
    <col min="15846" max="15846" width="1.42578125" style="619" customWidth="1"/>
    <col min="15847" max="15847" width="7.5703125" style="619" customWidth="1"/>
    <col min="15848" max="15848" width="4.85546875" style="619" customWidth="1"/>
    <col min="15849" max="15849" width="8" style="619" customWidth="1"/>
    <col min="15850" max="15850" width="8.140625" style="619" customWidth="1"/>
    <col min="15851" max="15851" width="7.28515625" style="619" customWidth="1"/>
    <col min="15852" max="15852" width="20.7109375" style="619" customWidth="1"/>
    <col min="15853" max="15853" width="15" style="619" customWidth="1"/>
    <col min="15854" max="15854" width="0.140625" style="619" customWidth="1"/>
    <col min="15855" max="15855" width="0" style="619" hidden="1" customWidth="1"/>
    <col min="15856" max="15856" width="78.85546875" style="619" customWidth="1"/>
    <col min="15857" max="15857" width="14.140625" style="619" customWidth="1"/>
    <col min="15858" max="15858" width="0.28515625" style="619" customWidth="1"/>
    <col min="15859" max="15859" width="11.7109375" style="619" customWidth="1"/>
    <col min="15860" max="15860" width="8.7109375" style="619" customWidth="1"/>
    <col min="15861" max="15861" width="0" style="619" hidden="1" customWidth="1"/>
    <col min="15862" max="15862" width="11.42578125" style="619" customWidth="1"/>
    <col min="15863" max="15865" width="0" style="619" hidden="1" customWidth="1"/>
    <col min="15866" max="15866" width="19" style="619" customWidth="1"/>
    <col min="15867" max="15867" width="17.28515625" style="619" customWidth="1"/>
    <col min="15868" max="15868" width="19.7109375" style="619" customWidth="1"/>
    <col min="15869" max="15869" width="20.7109375" style="619" customWidth="1"/>
    <col min="15870" max="15870" width="13.140625" style="619" bestFit="1" customWidth="1"/>
    <col min="15871" max="15871" width="21.5703125" style="619" customWidth="1"/>
    <col min="15872" max="15872" width="16" style="619" bestFit="1" customWidth="1"/>
    <col min="15873" max="15873" width="13.140625" style="619" bestFit="1" customWidth="1"/>
    <col min="15874" max="15874" width="38.28515625" style="619" bestFit="1" customWidth="1"/>
    <col min="15875" max="15875" width="1.28515625" style="619" customWidth="1"/>
    <col min="15876" max="15876" width="0" style="619" hidden="1" customWidth="1"/>
    <col min="15877" max="16101" width="11.42578125" style="619"/>
    <col min="16102" max="16102" width="1.42578125" style="619" customWidth="1"/>
    <col min="16103" max="16103" width="7.5703125" style="619" customWidth="1"/>
    <col min="16104" max="16104" width="4.85546875" style="619" customWidth="1"/>
    <col min="16105" max="16105" width="8" style="619" customWidth="1"/>
    <col min="16106" max="16106" width="8.140625" style="619" customWidth="1"/>
    <col min="16107" max="16107" width="7.28515625" style="619" customWidth="1"/>
    <col min="16108" max="16108" width="20.7109375" style="619" customWidth="1"/>
    <col min="16109" max="16109" width="15" style="619" customWidth="1"/>
    <col min="16110" max="16110" width="0.140625" style="619" customWidth="1"/>
    <col min="16111" max="16111" width="0" style="619" hidden="1" customWidth="1"/>
    <col min="16112" max="16112" width="78.85546875" style="619" customWidth="1"/>
    <col min="16113" max="16113" width="14.140625" style="619" customWidth="1"/>
    <col min="16114" max="16114" width="0.28515625" style="619" customWidth="1"/>
    <col min="16115" max="16115" width="11.7109375" style="619" customWidth="1"/>
    <col min="16116" max="16116" width="8.7109375" style="619" customWidth="1"/>
    <col min="16117" max="16117" width="0" style="619" hidden="1" customWidth="1"/>
    <col min="16118" max="16118" width="11.42578125" style="619" customWidth="1"/>
    <col min="16119" max="16121" width="0" style="619" hidden="1" customWidth="1"/>
    <col min="16122" max="16122" width="19" style="619" customWidth="1"/>
    <col min="16123" max="16123" width="17.28515625" style="619" customWidth="1"/>
    <col min="16124" max="16124" width="19.7109375" style="619" customWidth="1"/>
    <col min="16125" max="16125" width="20.7109375" style="619" customWidth="1"/>
    <col min="16126" max="16126" width="13.140625" style="619" bestFit="1" customWidth="1"/>
    <col min="16127" max="16127" width="21.5703125" style="619" customWidth="1"/>
    <col min="16128" max="16128" width="16" style="619" bestFit="1" customWidth="1"/>
    <col min="16129" max="16129" width="13.140625" style="619" bestFit="1" customWidth="1"/>
    <col min="16130" max="16130" width="38.28515625" style="619" bestFit="1" customWidth="1"/>
    <col min="16131" max="16131" width="1.28515625" style="619" customWidth="1"/>
    <col min="16132" max="16132" width="0" style="619" hidden="1" customWidth="1"/>
    <col min="16133" max="16384" width="11.42578125" style="619"/>
  </cols>
  <sheetData>
    <row r="1" spans="1:30" x14ac:dyDescent="0.2">
      <c r="A1" s="615"/>
      <c r="B1" s="615"/>
      <c r="C1" s="615"/>
      <c r="D1" s="615"/>
      <c r="E1" s="1245" t="s">
        <v>622</v>
      </c>
      <c r="F1" s="1245"/>
      <c r="G1" s="1245"/>
      <c r="H1" s="1245"/>
      <c r="I1" s="1245"/>
      <c r="J1" s="1245"/>
      <c r="K1" s="1245"/>
      <c r="L1" s="1245"/>
      <c r="M1" s="1245"/>
      <c r="N1" s="1245"/>
      <c r="O1" s="1245"/>
      <c r="P1" s="1245"/>
      <c r="Q1" s="1245"/>
      <c r="R1" s="1245"/>
      <c r="S1" s="616" t="s">
        <v>563</v>
      </c>
      <c r="T1" s="617"/>
      <c r="U1" s="618"/>
    </row>
    <row r="2" spans="1:30" x14ac:dyDescent="0.2">
      <c r="A2" s="615"/>
      <c r="B2" s="615"/>
      <c r="C2" s="615"/>
      <c r="D2" s="615"/>
      <c r="E2" s="1245"/>
      <c r="F2" s="1245"/>
      <c r="G2" s="1245"/>
      <c r="H2" s="1245"/>
      <c r="I2" s="1245"/>
      <c r="J2" s="1245"/>
      <c r="K2" s="1245"/>
      <c r="L2" s="1245"/>
      <c r="M2" s="1245"/>
      <c r="N2" s="1245"/>
      <c r="O2" s="1245"/>
      <c r="P2" s="1245"/>
      <c r="Q2" s="1245"/>
      <c r="R2" s="1245"/>
      <c r="S2" s="616" t="s">
        <v>564</v>
      </c>
      <c r="T2" s="617"/>
      <c r="U2" s="618"/>
    </row>
    <row r="3" spans="1:30" x14ac:dyDescent="0.2">
      <c r="A3" s="615"/>
      <c r="B3" s="615"/>
      <c r="C3" s="615"/>
      <c r="D3" s="615"/>
      <c r="E3" s="1245"/>
      <c r="F3" s="1245"/>
      <c r="G3" s="1245"/>
      <c r="H3" s="1245"/>
      <c r="I3" s="1245"/>
      <c r="J3" s="1245"/>
      <c r="K3" s="1245"/>
      <c r="L3" s="1245"/>
      <c r="M3" s="1245"/>
      <c r="N3" s="1245"/>
      <c r="O3" s="1245"/>
      <c r="P3" s="1245"/>
      <c r="Q3" s="1245"/>
      <c r="R3" s="1245"/>
      <c r="S3" s="616" t="s">
        <v>565</v>
      </c>
      <c r="T3" s="621"/>
      <c r="U3" s="622"/>
    </row>
    <row r="4" spans="1:30" x14ac:dyDescent="0.2">
      <c r="A4" s="615"/>
      <c r="B4" s="615"/>
      <c r="C4" s="615"/>
      <c r="D4" s="623"/>
      <c r="E4" s="1245"/>
      <c r="F4" s="1245"/>
      <c r="G4" s="1245"/>
      <c r="H4" s="1245"/>
      <c r="I4" s="1245"/>
      <c r="J4" s="1245"/>
      <c r="K4" s="1245"/>
      <c r="L4" s="1245"/>
      <c r="M4" s="1245"/>
      <c r="N4" s="1245"/>
      <c r="O4" s="1245"/>
      <c r="P4" s="1245"/>
      <c r="Q4" s="1245"/>
      <c r="R4" s="1245"/>
      <c r="S4" s="616" t="s">
        <v>566</v>
      </c>
      <c r="T4" s="624"/>
      <c r="U4" s="625"/>
    </row>
    <row r="5" spans="1:30" x14ac:dyDescent="0.2">
      <c r="A5" s="615"/>
      <c r="B5" s="615"/>
      <c r="C5" s="615"/>
      <c r="D5" s="615"/>
      <c r="E5" s="1245"/>
      <c r="F5" s="1245"/>
      <c r="G5" s="1245"/>
      <c r="H5" s="1245"/>
      <c r="I5" s="1245"/>
      <c r="J5" s="1245"/>
      <c r="K5" s="1245"/>
      <c r="L5" s="1245"/>
      <c r="M5" s="1245"/>
      <c r="N5" s="1245"/>
      <c r="O5" s="1245"/>
      <c r="P5" s="1245"/>
      <c r="Q5" s="1245"/>
      <c r="R5" s="1245"/>
      <c r="S5" s="626"/>
      <c r="T5" s="824"/>
      <c r="U5" s="618"/>
    </row>
    <row r="6" spans="1:30" x14ac:dyDescent="0.2">
      <c r="A6" s="615"/>
      <c r="B6" s="615"/>
      <c r="C6" s="615"/>
      <c r="D6" s="615"/>
      <c r="E6" s="1245"/>
      <c r="F6" s="1245"/>
      <c r="G6" s="1245"/>
      <c r="H6" s="1245"/>
      <c r="I6" s="1245"/>
      <c r="J6" s="1245"/>
      <c r="K6" s="1245"/>
      <c r="L6" s="1245"/>
      <c r="M6" s="1245"/>
      <c r="N6" s="1245"/>
      <c r="O6" s="1245"/>
      <c r="P6" s="1245"/>
      <c r="Q6" s="1245"/>
      <c r="R6" s="1245"/>
      <c r="S6" s="626"/>
      <c r="T6" s="825"/>
      <c r="U6" s="618"/>
    </row>
    <row r="7" spans="1:30" x14ac:dyDescent="0.2">
      <c r="A7" s="615"/>
      <c r="B7" s="615"/>
      <c r="C7" s="615"/>
      <c r="D7" s="615"/>
      <c r="E7" s="615"/>
      <c r="F7" s="627"/>
      <c r="G7" s="627"/>
      <c r="H7" s="627"/>
      <c r="I7" s="628"/>
      <c r="J7" s="629"/>
      <c r="K7" s="629"/>
      <c r="L7" s="629"/>
      <c r="M7" s="629"/>
      <c r="N7" s="629"/>
      <c r="O7" s="618"/>
      <c r="P7" s="618"/>
      <c r="Q7" s="618"/>
      <c r="R7" s="626"/>
      <c r="S7" s="626"/>
      <c r="T7" s="826"/>
      <c r="U7" s="618"/>
    </row>
    <row r="8" spans="1:30" x14ac:dyDescent="0.2">
      <c r="A8" s="1246" t="s">
        <v>567</v>
      </c>
      <c r="B8" s="1247"/>
      <c r="C8" s="1247"/>
      <c r="D8" s="630"/>
      <c r="E8" s="1246" t="s">
        <v>568</v>
      </c>
      <c r="F8" s="1247"/>
      <c r="G8" s="1247"/>
      <c r="H8" s="1247"/>
      <c r="I8" s="1247"/>
      <c r="J8" s="1247"/>
      <c r="K8" s="1247"/>
      <c r="L8" s="1247"/>
      <c r="M8" s="1247"/>
      <c r="N8" s="1247"/>
      <c r="O8" s="1247"/>
      <c r="P8" s="1247"/>
      <c r="Q8" s="1247"/>
      <c r="R8" s="1247"/>
      <c r="S8" s="1247"/>
      <c r="T8" s="1248"/>
      <c r="U8" s="631"/>
    </row>
    <row r="9" spans="1:30" x14ac:dyDescent="0.2">
      <c r="A9" s="1246" t="s">
        <v>569</v>
      </c>
      <c r="B9" s="1247"/>
      <c r="C9" s="1247"/>
      <c r="D9" s="632"/>
      <c r="E9" s="1249" t="s">
        <v>570</v>
      </c>
      <c r="F9" s="1250"/>
      <c r="G9" s="1250"/>
      <c r="H9" s="1250"/>
      <c r="I9" s="1250"/>
      <c r="J9" s="1250"/>
      <c r="K9" s="1250"/>
      <c r="L9" s="1250"/>
      <c r="M9" s="1250"/>
      <c r="N9" s="1250"/>
      <c r="O9" s="1250"/>
      <c r="P9" s="1250"/>
      <c r="Q9" s="1250"/>
      <c r="R9" s="1250"/>
      <c r="S9" s="1250"/>
      <c r="T9" s="1251"/>
      <c r="U9" s="633"/>
    </row>
    <row r="10" spans="1:30" x14ac:dyDescent="0.2">
      <c r="A10" s="1252" t="s">
        <v>571</v>
      </c>
      <c r="B10" s="1252"/>
      <c r="C10" s="1246"/>
      <c r="D10" s="634"/>
      <c r="E10" s="1246" t="s">
        <v>572</v>
      </c>
      <c r="F10" s="1247"/>
      <c r="G10" s="1247"/>
      <c r="H10" s="1247"/>
      <c r="I10" s="1247"/>
      <c r="J10" s="1247"/>
      <c r="K10" s="1247"/>
      <c r="L10" s="1247"/>
      <c r="M10" s="1247"/>
      <c r="N10" s="1247"/>
      <c r="O10" s="1247"/>
      <c r="P10" s="1247"/>
      <c r="Q10" s="1247"/>
      <c r="R10" s="1247"/>
      <c r="S10" s="1247"/>
      <c r="T10" s="1248"/>
      <c r="U10" s="631"/>
    </row>
    <row r="11" spans="1:30" x14ac:dyDescent="0.2">
      <c r="A11" s="1252" t="s">
        <v>573</v>
      </c>
      <c r="B11" s="1252"/>
      <c r="C11" s="1246"/>
      <c r="D11" s="634"/>
      <c r="E11" s="1252" t="s">
        <v>574</v>
      </c>
      <c r="F11" s="1252"/>
      <c r="G11" s="1252"/>
      <c r="H11" s="1252"/>
      <c r="I11" s="1252"/>
      <c r="J11" s="1252"/>
      <c r="K11" s="1252"/>
      <c r="L11" s="1252"/>
      <c r="M11" s="1252"/>
      <c r="N11" s="1252"/>
      <c r="O11" s="1252"/>
      <c r="P11" s="1252"/>
      <c r="Q11" s="1252"/>
      <c r="R11" s="1252"/>
      <c r="S11" s="1252"/>
      <c r="T11" s="1252"/>
      <c r="U11" s="631"/>
    </row>
    <row r="12" spans="1:30" x14ac:dyDescent="0.2">
      <c r="A12" s="635" t="s">
        <v>575</v>
      </c>
      <c r="B12" s="635"/>
      <c r="C12" s="636"/>
      <c r="D12" s="634"/>
      <c r="E12" s="1253" t="s">
        <v>554</v>
      </c>
      <c r="F12" s="1254"/>
      <c r="G12" s="1254"/>
      <c r="H12" s="1254"/>
      <c r="I12" s="1254"/>
      <c r="J12" s="1254"/>
      <c r="K12" s="1254"/>
      <c r="L12" s="1254"/>
      <c r="M12" s="1254"/>
      <c r="N12" s="1254"/>
      <c r="O12" s="1254"/>
      <c r="P12" s="1254"/>
      <c r="Q12" s="1254"/>
      <c r="R12" s="1254"/>
      <c r="S12" s="1254"/>
      <c r="T12" s="1255"/>
      <c r="U12" s="631"/>
    </row>
    <row r="13" spans="1:30" x14ac:dyDescent="0.2">
      <c r="A13" s="635" t="s">
        <v>575</v>
      </c>
      <c r="B13" s="635"/>
      <c r="C13" s="636"/>
      <c r="D13" s="634"/>
      <c r="E13" s="1246" t="s">
        <v>555</v>
      </c>
      <c r="F13" s="1247"/>
      <c r="G13" s="1247"/>
      <c r="H13" s="1247"/>
      <c r="I13" s="1247"/>
      <c r="J13" s="1247"/>
      <c r="K13" s="1247"/>
      <c r="L13" s="1247"/>
      <c r="M13" s="1247"/>
      <c r="N13" s="1247"/>
      <c r="O13" s="1247"/>
      <c r="P13" s="1247"/>
      <c r="Q13" s="1247"/>
      <c r="R13" s="1247"/>
      <c r="S13" s="1247"/>
      <c r="T13" s="1248"/>
      <c r="U13" s="631"/>
    </row>
    <row r="14" spans="1:30" ht="24" x14ac:dyDescent="0.2">
      <c r="A14" s="1256" t="s">
        <v>576</v>
      </c>
      <c r="B14" s="1258" t="s">
        <v>577</v>
      </c>
      <c r="C14" s="1256" t="s">
        <v>578</v>
      </c>
      <c r="D14" s="1256" t="s">
        <v>579</v>
      </c>
      <c r="E14" s="1258" t="s">
        <v>580</v>
      </c>
      <c r="F14" s="1258" t="s">
        <v>3</v>
      </c>
      <c r="G14" s="1256" t="s">
        <v>581</v>
      </c>
      <c r="H14" s="637"/>
      <c r="I14" s="1266" t="s">
        <v>17</v>
      </c>
      <c r="J14" s="1267" t="s">
        <v>582</v>
      </c>
      <c r="K14" s="1269" t="s">
        <v>583</v>
      </c>
      <c r="L14" s="1269" t="s">
        <v>736</v>
      </c>
      <c r="M14" s="1269" t="s">
        <v>584</v>
      </c>
      <c r="N14" s="1282" t="s">
        <v>585</v>
      </c>
      <c r="O14" s="1283"/>
      <c r="P14" s="1284"/>
      <c r="Q14" s="1285" t="s">
        <v>586</v>
      </c>
      <c r="R14" s="1287" t="s">
        <v>5</v>
      </c>
      <c r="S14" s="1289" t="s">
        <v>6</v>
      </c>
      <c r="T14" s="1291" t="s">
        <v>7</v>
      </c>
      <c r="U14" s="1293" t="s">
        <v>587</v>
      </c>
      <c r="V14" s="1274" t="s">
        <v>588</v>
      </c>
      <c r="W14" s="1275"/>
      <c r="X14" s="1276" t="s">
        <v>7</v>
      </c>
      <c r="Y14" s="1277" t="s">
        <v>480</v>
      </c>
      <c r="Z14" s="1279" t="s">
        <v>479</v>
      </c>
      <c r="AA14" s="1281" t="s">
        <v>478</v>
      </c>
      <c r="AB14" s="638" t="s">
        <v>589</v>
      </c>
      <c r="AC14" s="639" t="s">
        <v>590</v>
      </c>
      <c r="AD14" s="639" t="s">
        <v>591</v>
      </c>
    </row>
    <row r="15" spans="1:30" ht="99.75" x14ac:dyDescent="0.2">
      <c r="A15" s="1257"/>
      <c r="B15" s="1258"/>
      <c r="C15" s="1257"/>
      <c r="D15" s="1257"/>
      <c r="E15" s="1258"/>
      <c r="F15" s="1258"/>
      <c r="G15" s="1265"/>
      <c r="H15" s="640" t="s">
        <v>592</v>
      </c>
      <c r="I15" s="1266"/>
      <c r="J15" s="1268"/>
      <c r="K15" s="1270"/>
      <c r="L15" s="1270"/>
      <c r="M15" s="1270"/>
      <c r="N15" s="641" t="s">
        <v>593</v>
      </c>
      <c r="O15" s="641" t="s">
        <v>594</v>
      </c>
      <c r="P15" s="641" t="s">
        <v>595</v>
      </c>
      <c r="Q15" s="1286"/>
      <c r="R15" s="1288"/>
      <c r="S15" s="1290"/>
      <c r="T15" s="1292"/>
      <c r="U15" s="1294"/>
      <c r="V15" s="642" t="s">
        <v>482</v>
      </c>
      <c r="W15" s="643" t="s">
        <v>481</v>
      </c>
      <c r="X15" s="1276"/>
      <c r="Y15" s="1278"/>
      <c r="Z15" s="1280"/>
      <c r="AA15" s="1281"/>
      <c r="AB15" s="638"/>
      <c r="AC15" s="639"/>
      <c r="AD15" s="638"/>
    </row>
    <row r="16" spans="1:30" ht="51.75" customHeight="1" x14ac:dyDescent="0.2">
      <c r="A16" s="1259" t="str">
        <f>+E12</f>
        <v>115 Fortalecimiento Institucional desde la Gestión Pedagogíca</v>
      </c>
      <c r="B16" s="1259" t="s">
        <v>552</v>
      </c>
      <c r="C16" s="1259" t="s">
        <v>553</v>
      </c>
      <c r="D16" s="1259" t="s">
        <v>546</v>
      </c>
      <c r="E16" s="1259" t="s">
        <v>598</v>
      </c>
      <c r="F16" s="644" t="e">
        <f>+#REF!</f>
        <v>#REF!</v>
      </c>
      <c r="G16" s="827"/>
      <c r="H16" s="827"/>
      <c r="I16" s="699"/>
      <c r="J16" s="744"/>
      <c r="K16" s="827" t="e">
        <f>+#REF!</f>
        <v>#REF!</v>
      </c>
      <c r="L16" s="691"/>
      <c r="M16" s="727"/>
      <c r="N16" s="827"/>
      <c r="O16" s="645"/>
      <c r="P16" s="649"/>
      <c r="Q16" s="645"/>
      <c r="R16" s="650"/>
      <c r="S16" s="650"/>
      <c r="T16" s="650">
        <f>+R16+S16</f>
        <v>0</v>
      </c>
      <c r="U16" s="651"/>
      <c r="V16" s="669"/>
      <c r="W16" s="651"/>
      <c r="X16" s="650"/>
      <c r="Y16" s="670"/>
      <c r="Z16" s="671"/>
      <c r="AA16" s="654"/>
      <c r="AB16" s="654"/>
      <c r="AC16" s="654"/>
      <c r="AD16" s="654"/>
    </row>
    <row r="17" spans="1:30" ht="27.75" customHeight="1" x14ac:dyDescent="0.2">
      <c r="A17" s="1260"/>
      <c r="B17" s="1260"/>
      <c r="C17" s="1260"/>
      <c r="D17" s="1260"/>
      <c r="E17" s="1260"/>
      <c r="F17" s="1271" t="s">
        <v>596</v>
      </c>
      <c r="G17" s="1272"/>
      <c r="H17" s="1272"/>
      <c r="I17" s="1272"/>
      <c r="J17" s="1272"/>
      <c r="K17" s="1272"/>
      <c r="L17" s="1272"/>
      <c r="M17" s="1272"/>
      <c r="N17" s="1272"/>
      <c r="O17" s="1272"/>
      <c r="P17" s="1273"/>
      <c r="Q17" s="656"/>
      <c r="R17" s="657">
        <v>646532725</v>
      </c>
      <c r="S17" s="657">
        <f t="shared" ref="S17" si="0">+S16</f>
        <v>0</v>
      </c>
      <c r="T17" s="657">
        <f>+R17+S17</f>
        <v>646532725</v>
      </c>
      <c r="U17" s="658"/>
      <c r="V17" s="657">
        <f>SUM(V16:V16)</f>
        <v>0</v>
      </c>
      <c r="W17" s="657">
        <f>SUM(W16:W16)</f>
        <v>0</v>
      </c>
      <c r="X17" s="657">
        <f>SUM(X16:X16)</f>
        <v>0</v>
      </c>
      <c r="Y17" s="659"/>
      <c r="Z17" s="657"/>
      <c r="AA17" s="657"/>
      <c r="AB17" s="677"/>
      <c r="AC17" s="667">
        <v>126297148</v>
      </c>
      <c r="AD17" s="654">
        <f>+AC17</f>
        <v>126297148</v>
      </c>
    </row>
    <row r="18" spans="1:30" ht="24" customHeight="1" x14ac:dyDescent="0.2">
      <c r="A18" s="1260"/>
      <c r="B18" s="1260"/>
      <c r="C18" s="1260"/>
      <c r="D18" s="1261"/>
      <c r="E18" s="1261"/>
      <c r="F18" s="1262" t="s">
        <v>597</v>
      </c>
      <c r="G18" s="1263"/>
      <c r="H18" s="1263"/>
      <c r="I18" s="1263"/>
      <c r="J18" s="1263"/>
      <c r="K18" s="1263"/>
      <c r="L18" s="1263"/>
      <c r="M18" s="1263"/>
      <c r="N18" s="1263"/>
      <c r="O18" s="1263"/>
      <c r="P18" s="1264"/>
      <c r="Q18" s="663"/>
      <c r="R18" s="664">
        <f>+R17</f>
        <v>646532725</v>
      </c>
      <c r="S18" s="664">
        <f>+S17</f>
        <v>0</v>
      </c>
      <c r="T18" s="664">
        <f>+R18+S18</f>
        <v>646532725</v>
      </c>
      <c r="U18" s="665"/>
      <c r="V18" s="664">
        <f>+V17</f>
        <v>0</v>
      </c>
      <c r="W18" s="664">
        <f t="shared" ref="W18:X18" si="1">+W17</f>
        <v>0</v>
      </c>
      <c r="X18" s="664">
        <f t="shared" si="1"/>
        <v>0</v>
      </c>
      <c r="Y18" s="666"/>
      <c r="Z18" s="664"/>
      <c r="AA18" s="664"/>
      <c r="AB18" s="667"/>
      <c r="AC18" s="667"/>
      <c r="AD18" s="678"/>
    </row>
    <row r="19" spans="1:30" ht="33.75" customHeight="1" x14ac:dyDescent="0.2">
      <c r="A19" s="1260"/>
      <c r="B19" s="1260"/>
      <c r="C19" s="1260"/>
      <c r="D19" s="1259" t="s">
        <v>536</v>
      </c>
      <c r="E19" s="1259" t="s">
        <v>737</v>
      </c>
      <c r="F19" s="828" t="e">
        <f>+#REF!</f>
        <v>#REF!</v>
      </c>
      <c r="G19" s="645"/>
      <c r="H19" s="645"/>
      <c r="I19" s="672"/>
      <c r="J19" s="679"/>
      <c r="K19" s="827" t="e">
        <f>+#REF!</f>
        <v>#REF!</v>
      </c>
      <c r="L19" s="647"/>
      <c r="M19" s="647"/>
      <c r="N19" s="680"/>
      <c r="O19" s="680"/>
      <c r="P19" s="649"/>
      <c r="Q19" s="680"/>
      <c r="R19" s="681"/>
      <c r="S19" s="681"/>
      <c r="T19" s="681">
        <f>+R19+S19</f>
        <v>0</v>
      </c>
      <c r="U19" s="682"/>
      <c r="V19" s="681"/>
      <c r="W19" s="681"/>
      <c r="X19" s="681"/>
      <c r="Y19" s="683"/>
      <c r="Z19" s="681"/>
      <c r="AA19" s="681"/>
      <c r="AB19" s="654"/>
      <c r="AC19" s="654"/>
      <c r="AD19" s="654"/>
    </row>
    <row r="20" spans="1:30" ht="18.75" customHeight="1" x14ac:dyDescent="0.2">
      <c r="A20" s="1260"/>
      <c r="B20" s="1260"/>
      <c r="C20" s="1260"/>
      <c r="D20" s="1260"/>
      <c r="E20" s="1260"/>
      <c r="F20" s="1297" t="s">
        <v>596</v>
      </c>
      <c r="G20" s="1297"/>
      <c r="H20" s="1297"/>
      <c r="I20" s="1297"/>
      <c r="J20" s="1297"/>
      <c r="K20" s="1297"/>
      <c r="L20" s="1297"/>
      <c r="M20" s="1297"/>
      <c r="N20" s="1297"/>
      <c r="O20" s="1297"/>
      <c r="P20" s="1297"/>
      <c r="Q20" s="684"/>
      <c r="R20" s="685">
        <v>200000000</v>
      </c>
      <c r="S20" s="685">
        <v>250000000</v>
      </c>
      <c r="T20" s="685">
        <f>+R20+S20</f>
        <v>450000000</v>
      </c>
      <c r="U20" s="686"/>
      <c r="V20" s="685"/>
      <c r="W20" s="685"/>
      <c r="X20" s="685"/>
      <c r="Y20" s="687"/>
      <c r="Z20" s="685"/>
      <c r="AA20" s="685"/>
      <c r="AB20" s="654"/>
      <c r="AC20" s="654"/>
      <c r="AD20" s="654"/>
    </row>
    <row r="21" spans="1:30" ht="37.5" customHeight="1" x14ac:dyDescent="0.2">
      <c r="A21" s="1260"/>
      <c r="B21" s="1260"/>
      <c r="C21" s="1260"/>
      <c r="D21" s="1260"/>
      <c r="E21" s="1260"/>
      <c r="F21" s="852" t="e">
        <f>+#REF!</f>
        <v>#REF!</v>
      </c>
      <c r="G21" s="848"/>
      <c r="H21" s="849"/>
      <c r="I21" s="848"/>
      <c r="J21" s="848"/>
      <c r="K21" s="827" t="e">
        <f>+#REF!</f>
        <v>#REF!</v>
      </c>
      <c r="L21" s="848"/>
      <c r="M21" s="848"/>
      <c r="N21" s="848"/>
      <c r="O21" s="848"/>
      <c r="P21" s="848"/>
      <c r="Q21" s="850"/>
      <c r="R21" s="851"/>
      <c r="S21" s="851"/>
      <c r="T21" s="851"/>
      <c r="U21" s="686"/>
      <c r="V21" s="685"/>
      <c r="W21" s="685"/>
      <c r="X21" s="685"/>
      <c r="Y21" s="687"/>
      <c r="Z21" s="685"/>
      <c r="AA21" s="685"/>
      <c r="AB21" s="654"/>
      <c r="AC21" s="654"/>
      <c r="AD21" s="654"/>
    </row>
    <row r="22" spans="1:30" ht="18.75" customHeight="1" x14ac:dyDescent="0.2">
      <c r="A22" s="1260"/>
      <c r="B22" s="1260"/>
      <c r="C22" s="1260"/>
      <c r="D22" s="1260"/>
      <c r="E22" s="1260"/>
      <c r="F22" s="847"/>
      <c r="G22" s="840"/>
      <c r="H22" s="838"/>
      <c r="I22" s="840"/>
      <c r="J22" s="840"/>
      <c r="K22" s="840"/>
      <c r="L22" s="842"/>
      <c r="M22" s="840"/>
      <c r="N22" s="840"/>
      <c r="O22" s="840"/>
      <c r="P22" s="840"/>
      <c r="Q22" s="839"/>
      <c r="R22" s="685"/>
      <c r="S22" s="685">
        <v>350000000</v>
      </c>
      <c r="T22" s="685">
        <f>+R22+S22</f>
        <v>350000000</v>
      </c>
      <c r="U22" s="686"/>
      <c r="V22" s="685"/>
      <c r="W22" s="685"/>
      <c r="X22" s="685"/>
      <c r="Y22" s="687"/>
      <c r="Z22" s="685"/>
      <c r="AA22" s="685"/>
      <c r="AB22" s="654"/>
      <c r="AC22" s="654"/>
      <c r="AD22" s="654"/>
    </row>
    <row r="23" spans="1:30" ht="34.5" customHeight="1" x14ac:dyDescent="0.2">
      <c r="A23" s="1260"/>
      <c r="B23" s="1260"/>
      <c r="C23" s="1260"/>
      <c r="D23" s="1260"/>
      <c r="E23" s="1260"/>
      <c r="F23" s="644" t="e">
        <f>+#REF!</f>
        <v>#REF!</v>
      </c>
      <c r="G23" s="853"/>
      <c r="H23" s="854"/>
      <c r="I23" s="855"/>
      <c r="J23" s="856"/>
      <c r="K23" s="827" t="e">
        <f>+#REF!</f>
        <v>#REF!</v>
      </c>
      <c r="L23" s="691"/>
      <c r="M23" s="745"/>
      <c r="N23" s="745"/>
      <c r="O23" s="745"/>
      <c r="P23" s="836"/>
      <c r="Q23" s="688"/>
      <c r="R23" s="689"/>
      <c r="S23" s="681"/>
      <c r="T23" s="681">
        <f>+R23+S23</f>
        <v>0</v>
      </c>
      <c r="U23" s="682"/>
      <c r="V23" s="681"/>
      <c r="W23" s="681"/>
      <c r="X23" s="681"/>
      <c r="Y23" s="683"/>
      <c r="Z23" s="653"/>
      <c r="AA23" s="653"/>
      <c r="AB23" s="654"/>
      <c r="AC23" s="654"/>
      <c r="AD23" s="654"/>
    </row>
    <row r="24" spans="1:30" ht="21" customHeight="1" x14ac:dyDescent="0.2">
      <c r="A24" s="1260"/>
      <c r="B24" s="1260"/>
      <c r="C24" s="1260"/>
      <c r="D24" s="1260"/>
      <c r="E24" s="1260"/>
      <c r="F24" s="1297" t="s">
        <v>596</v>
      </c>
      <c r="G24" s="1297"/>
      <c r="H24" s="1297"/>
      <c r="I24" s="1297"/>
      <c r="J24" s="1297"/>
      <c r="K24" s="1297"/>
      <c r="L24" s="1297"/>
      <c r="M24" s="1297"/>
      <c r="N24" s="1297"/>
      <c r="O24" s="1297"/>
      <c r="P24" s="1297"/>
      <c r="Q24" s="684"/>
      <c r="R24" s="685">
        <v>200000000</v>
      </c>
      <c r="S24" s="685">
        <f>+S23</f>
        <v>0</v>
      </c>
      <c r="T24" s="685">
        <f>+R24+S24</f>
        <v>200000000</v>
      </c>
      <c r="U24" s="686"/>
      <c r="V24" s="685">
        <f>SUM(V23:V23)</f>
        <v>0</v>
      </c>
      <c r="W24" s="685">
        <f>SUM(W23:W23)</f>
        <v>0</v>
      </c>
      <c r="X24" s="685">
        <f>SUM(X23:X23)</f>
        <v>0</v>
      </c>
      <c r="Y24" s="687"/>
      <c r="Z24" s="685"/>
      <c r="AA24" s="685"/>
      <c r="AB24" s="654"/>
      <c r="AC24" s="654"/>
      <c r="AD24" s="654"/>
    </row>
    <row r="25" spans="1:30" ht="25.5" customHeight="1" x14ac:dyDescent="0.2">
      <c r="A25" s="1260"/>
      <c r="B25" s="1260"/>
      <c r="C25" s="1260"/>
      <c r="D25" s="1261"/>
      <c r="E25" s="822"/>
      <c r="F25" s="1295" t="s">
        <v>597</v>
      </c>
      <c r="G25" s="1295"/>
      <c r="H25" s="1295"/>
      <c r="I25" s="1296"/>
      <c r="J25" s="1296"/>
      <c r="K25" s="1296"/>
      <c r="L25" s="1296"/>
      <c r="M25" s="1296"/>
      <c r="N25" s="1296"/>
      <c r="O25" s="1296"/>
      <c r="P25" s="1296"/>
      <c r="Q25" s="695"/>
      <c r="R25" s="696">
        <f>+R20+R22+R24</f>
        <v>400000000</v>
      </c>
      <c r="S25" s="696">
        <f>+S20+S22+S24</f>
        <v>600000000</v>
      </c>
      <c r="T25" s="696">
        <f>+R25+S25</f>
        <v>1000000000</v>
      </c>
      <c r="U25" s="697"/>
      <c r="V25" s="696">
        <f>+V20+V24</f>
        <v>0</v>
      </c>
      <c r="W25" s="696">
        <f t="shared" ref="W25" si="2">+W20+W24</f>
        <v>0</v>
      </c>
      <c r="X25" s="696">
        <f>+V25+W25</f>
        <v>0</v>
      </c>
      <c r="Y25" s="698"/>
      <c r="Z25" s="696"/>
      <c r="AA25" s="696"/>
      <c r="AB25" s="678" t="e">
        <f>+#REF!+#REF!+AB24+AB20</f>
        <v>#REF!</v>
      </c>
      <c r="AC25" s="678" t="e">
        <f>+#REF!+#REF!+AC24+AC20</f>
        <v>#REF!</v>
      </c>
      <c r="AD25" s="678" t="e">
        <f>+#REF!+#REF!+AD24+AD20</f>
        <v>#REF!</v>
      </c>
    </row>
    <row r="26" spans="1:30" ht="40.5" customHeight="1" x14ac:dyDescent="0.2">
      <c r="A26" s="1260"/>
      <c r="B26" s="1260"/>
      <c r="C26" s="1260"/>
      <c r="D26" s="1302" t="s">
        <v>544</v>
      </c>
      <c r="E26" s="1302" t="s">
        <v>544</v>
      </c>
      <c r="F26" s="699" t="e">
        <f>+#REF!</f>
        <v>#REF!</v>
      </c>
      <c r="G26" s="646"/>
      <c r="H26" s="646"/>
      <c r="I26" s="672"/>
      <c r="J26" s="646"/>
      <c r="K26" s="857" t="e">
        <f>+#REF!</f>
        <v>#REF!</v>
      </c>
      <c r="L26" s="647"/>
      <c r="M26" s="674"/>
      <c r="N26" s="700"/>
      <c r="O26" s="648"/>
      <c r="P26" s="649"/>
      <c r="Q26" s="676"/>
      <c r="R26" s="701"/>
      <c r="S26" s="702"/>
      <c r="T26" s="650"/>
      <c r="U26" s="651"/>
      <c r="V26" s="701"/>
      <c r="W26" s="702"/>
      <c r="X26" s="650"/>
      <c r="Y26" s="673"/>
      <c r="Z26" s="703"/>
      <c r="AA26" s="650"/>
      <c r="AB26" s="654"/>
      <c r="AC26" s="654"/>
      <c r="AD26" s="654"/>
    </row>
    <row r="27" spans="1:30" ht="15" x14ac:dyDescent="0.25">
      <c r="A27" s="1260"/>
      <c r="B27" s="1260"/>
      <c r="C27" s="1260"/>
      <c r="D27" s="1302"/>
      <c r="E27" s="1302"/>
      <c r="F27" s="1271" t="s">
        <v>596</v>
      </c>
      <c r="G27" s="1272"/>
      <c r="H27" s="1272"/>
      <c r="I27" s="1272"/>
      <c r="J27" s="1272"/>
      <c r="K27" s="1272"/>
      <c r="L27" s="1272"/>
      <c r="M27" s="1272"/>
      <c r="N27" s="1272"/>
      <c r="O27" s="1272"/>
      <c r="P27" s="1273"/>
      <c r="Q27" s="656"/>
      <c r="R27" s="685">
        <v>275248254</v>
      </c>
      <c r="S27" s="685">
        <f t="shared" ref="S27" si="3">SUM(S26:S26)</f>
        <v>0</v>
      </c>
      <c r="T27" s="685">
        <f t="shared" ref="T27:T32" si="4">+R27+S27</f>
        <v>275248254</v>
      </c>
      <c r="U27" s="686"/>
      <c r="V27" s="685">
        <f>SUM(V26:V26)</f>
        <v>0</v>
      </c>
      <c r="W27" s="685">
        <f>SUM(W26:W26)</f>
        <v>0</v>
      </c>
      <c r="X27" s="685">
        <f>SUM(X26:X26)</f>
        <v>0</v>
      </c>
      <c r="Y27" s="687"/>
      <c r="Z27" s="685"/>
      <c r="AA27" s="685"/>
      <c r="AB27" s="660"/>
      <c r="AC27" s="661">
        <v>11318565</v>
      </c>
      <c r="AD27" s="662">
        <f>+AB27+AC27</f>
        <v>11318565</v>
      </c>
    </row>
    <row r="28" spans="1:30" ht="32.25" customHeight="1" x14ac:dyDescent="0.2">
      <c r="A28" s="1261"/>
      <c r="B28" s="1261"/>
      <c r="C28" s="1261"/>
      <c r="D28" s="1302"/>
      <c r="E28" s="1302"/>
      <c r="F28" s="1304" t="s">
        <v>599</v>
      </c>
      <c r="G28" s="1305"/>
      <c r="H28" s="1305"/>
      <c r="I28" s="1305"/>
      <c r="J28" s="1305"/>
      <c r="K28" s="1305"/>
      <c r="L28" s="1305"/>
      <c r="M28" s="1305"/>
      <c r="N28" s="1305"/>
      <c r="O28" s="1305"/>
      <c r="P28" s="1306"/>
      <c r="Q28" s="708"/>
      <c r="R28" s="709">
        <f>+R27</f>
        <v>275248254</v>
      </c>
      <c r="S28" s="709">
        <f>+S27</f>
        <v>0</v>
      </c>
      <c r="T28" s="709">
        <f t="shared" si="4"/>
        <v>275248254</v>
      </c>
      <c r="U28" s="710"/>
      <c r="V28" s="709" t="e">
        <f>+V27+#REF!+#REF!</f>
        <v>#REF!</v>
      </c>
      <c r="W28" s="709" t="e">
        <f>+W27+#REF!+#REF!</f>
        <v>#REF!</v>
      </c>
      <c r="X28" s="709" t="e">
        <f>+V28+W28</f>
        <v>#REF!</v>
      </c>
      <c r="Y28" s="711"/>
      <c r="Z28" s="709"/>
      <c r="AA28" s="709"/>
      <c r="AB28" s="709"/>
      <c r="AC28" s="709" t="e">
        <f>+#REF!</f>
        <v>#REF!</v>
      </c>
      <c r="AD28" s="709"/>
    </row>
    <row r="29" spans="1:30" ht="39" customHeight="1" x14ac:dyDescent="0.2">
      <c r="A29" s="1298" t="s">
        <v>600</v>
      </c>
      <c r="B29" s="1299"/>
      <c r="C29" s="1299"/>
      <c r="D29" s="1299"/>
      <c r="E29" s="1299"/>
      <c r="F29" s="1299"/>
      <c r="G29" s="1299"/>
      <c r="H29" s="1299"/>
      <c r="I29" s="1299"/>
      <c r="J29" s="1299"/>
      <c r="K29" s="1299"/>
      <c r="L29" s="1299"/>
      <c r="M29" s="1299"/>
      <c r="N29" s="1299"/>
      <c r="O29" s="1299"/>
      <c r="P29" s="1300"/>
      <c r="Q29" s="712"/>
      <c r="R29" s="713">
        <f>+R18+R25+R28</f>
        <v>1321780979</v>
      </c>
      <c r="S29" s="713">
        <f>+S18+S25+S28</f>
        <v>600000000</v>
      </c>
      <c r="T29" s="713">
        <f t="shared" si="4"/>
        <v>1921780979</v>
      </c>
      <c r="U29" s="713"/>
      <c r="V29" s="713" t="e">
        <f>+V28+V25+V18+#REF!</f>
        <v>#REF!</v>
      </c>
      <c r="W29" s="713" t="e">
        <f>+W28+W25+W18+#REF!</f>
        <v>#REF!</v>
      </c>
      <c r="X29" s="713" t="e">
        <f>+V29+W29</f>
        <v>#REF!</v>
      </c>
      <c r="Y29" s="714"/>
      <c r="Z29" s="713"/>
      <c r="AA29" s="713"/>
      <c r="AB29" s="713"/>
      <c r="AC29" s="713" t="e">
        <f>+AC27+#REF!+AC28</f>
        <v>#REF!</v>
      </c>
      <c r="AD29" s="713" t="e">
        <f>+AD27+#REF!+AD28</f>
        <v>#REF!</v>
      </c>
    </row>
    <row r="30" spans="1:30" ht="48" customHeight="1" x14ac:dyDescent="0.2">
      <c r="A30" s="1301"/>
      <c r="B30" s="1318" t="s">
        <v>556</v>
      </c>
      <c r="C30" s="1259" t="s">
        <v>557</v>
      </c>
      <c r="D30" s="1302" t="s">
        <v>601</v>
      </c>
      <c r="E30" s="1302" t="s">
        <v>602</v>
      </c>
      <c r="F30" s="644" t="e">
        <f>+#REF!</f>
        <v>#REF!</v>
      </c>
      <c r="G30" s="645"/>
      <c r="H30" s="645"/>
      <c r="I30" s="722"/>
      <c r="J30" s="647"/>
      <c r="K30" s="647"/>
      <c r="L30" s="647"/>
      <c r="M30" s="647"/>
      <c r="N30" s="648"/>
      <c r="O30" s="648"/>
      <c r="P30" s="649"/>
      <c r="Q30" s="706"/>
      <c r="R30" s="723"/>
      <c r="S30" s="724"/>
      <c r="T30" s="725">
        <f t="shared" si="4"/>
        <v>0</v>
      </c>
      <c r="U30" s="651"/>
      <c r="V30" s="707"/>
      <c r="W30" s="716"/>
      <c r="X30" s="650"/>
      <c r="Y30" s="717"/>
      <c r="Z30" s="718"/>
      <c r="AA30" s="726"/>
      <c r="AB30" s="654"/>
      <c r="AC30" s="654"/>
      <c r="AD30" s="654"/>
    </row>
    <row r="31" spans="1:30" x14ac:dyDescent="0.2">
      <c r="A31" s="1301"/>
      <c r="B31" s="1319"/>
      <c r="C31" s="1260"/>
      <c r="D31" s="1302"/>
      <c r="E31" s="1302"/>
      <c r="F31" s="1271" t="s">
        <v>596</v>
      </c>
      <c r="G31" s="1272"/>
      <c r="H31" s="1272"/>
      <c r="I31" s="1272"/>
      <c r="J31" s="1272"/>
      <c r="K31" s="1272"/>
      <c r="L31" s="1272"/>
      <c r="M31" s="1272"/>
      <c r="N31" s="1272"/>
      <c r="O31" s="1272"/>
      <c r="P31" s="1273"/>
      <c r="Q31" s="656"/>
      <c r="R31" s="719">
        <v>919399741</v>
      </c>
      <c r="S31" s="719">
        <v>700000000</v>
      </c>
      <c r="T31" s="719">
        <f t="shared" si="4"/>
        <v>1619399741</v>
      </c>
      <c r="U31" s="720"/>
      <c r="V31" s="719">
        <f>SUM(V30:V30)</f>
        <v>0</v>
      </c>
      <c r="W31" s="719">
        <f>SUM(W30:W30)</f>
        <v>0</v>
      </c>
      <c r="X31" s="719">
        <f>SUM(X30:X30)</f>
        <v>0</v>
      </c>
      <c r="Y31" s="721"/>
      <c r="Z31" s="719"/>
      <c r="AA31" s="730"/>
      <c r="AB31" s="729">
        <f>SUM(AB30:AB30)</f>
        <v>0</v>
      </c>
      <c r="AC31" s="729">
        <f>SUM(AC30:AC30)</f>
        <v>0</v>
      </c>
      <c r="AD31" s="729">
        <f>+AB31+AC31</f>
        <v>0</v>
      </c>
    </row>
    <row r="32" spans="1:30" ht="15" x14ac:dyDescent="0.25">
      <c r="A32" s="1301"/>
      <c r="B32" s="1319"/>
      <c r="C32" s="1260"/>
      <c r="D32" s="1259"/>
      <c r="E32" s="1259"/>
      <c r="F32" s="1303" t="s">
        <v>599</v>
      </c>
      <c r="G32" s="1303"/>
      <c r="H32" s="1303"/>
      <c r="I32" s="1303"/>
      <c r="J32" s="1303"/>
      <c r="K32" s="1303"/>
      <c r="L32" s="1303"/>
      <c r="M32" s="1303"/>
      <c r="N32" s="1303"/>
      <c r="O32" s="1303"/>
      <c r="P32" s="1303"/>
      <c r="Q32" s="731"/>
      <c r="R32" s="709">
        <f>+R31</f>
        <v>919399741</v>
      </c>
      <c r="S32" s="709">
        <f>+S31</f>
        <v>700000000</v>
      </c>
      <c r="T32" s="709">
        <f t="shared" si="4"/>
        <v>1619399741</v>
      </c>
      <c r="U32" s="710"/>
      <c r="V32" s="709">
        <f>+V31</f>
        <v>0</v>
      </c>
      <c r="W32" s="709">
        <f>+W31</f>
        <v>0</v>
      </c>
      <c r="X32" s="709">
        <f>+X31</f>
        <v>0</v>
      </c>
      <c r="Y32" s="711"/>
      <c r="Z32" s="709"/>
      <c r="AA32" s="732"/>
      <c r="AB32" s="693">
        <f>+AB31</f>
        <v>0</v>
      </c>
      <c r="AC32" s="661">
        <v>206679164</v>
      </c>
      <c r="AD32" s="694">
        <f>+AB32+AC32</f>
        <v>206679164</v>
      </c>
    </row>
    <row r="33" spans="1:31" ht="26.25" customHeight="1" x14ac:dyDescent="0.2">
      <c r="A33" s="1301"/>
      <c r="B33" s="1319"/>
      <c r="C33" s="1260"/>
      <c r="D33" s="1321" t="s">
        <v>535</v>
      </c>
      <c r="E33" s="1321" t="s">
        <v>543</v>
      </c>
      <c r="F33" s="733" t="e">
        <f>+#REF!</f>
        <v>#REF!</v>
      </c>
      <c r="G33" s="734"/>
      <c r="H33" s="734"/>
      <c r="I33" s="735"/>
      <c r="J33" s="646"/>
      <c r="K33" s="680"/>
      <c r="L33" s="691"/>
      <c r="M33" s="691"/>
      <c r="N33" s="690"/>
      <c r="O33" s="715"/>
      <c r="P33" s="649"/>
      <c r="Q33" s="676"/>
      <c r="R33" s="728"/>
      <c r="S33" s="736"/>
      <c r="T33" s="737"/>
      <c r="U33" s="738"/>
      <c r="V33" s="739"/>
      <c r="W33" s="740"/>
      <c r="X33" s="737"/>
      <c r="Y33" s="741"/>
      <c r="Z33" s="738"/>
      <c r="AA33" s="692"/>
      <c r="AB33" s="654"/>
      <c r="AC33" s="654"/>
      <c r="AD33" s="654"/>
    </row>
    <row r="34" spans="1:31" ht="15" x14ac:dyDescent="0.25">
      <c r="A34" s="1301"/>
      <c r="B34" s="1319"/>
      <c r="C34" s="1260"/>
      <c r="D34" s="1321"/>
      <c r="E34" s="1321"/>
      <c r="F34" s="1297" t="s">
        <v>596</v>
      </c>
      <c r="G34" s="1297"/>
      <c r="H34" s="1297"/>
      <c r="I34" s="1297"/>
      <c r="J34" s="1297"/>
      <c r="K34" s="1297"/>
      <c r="L34" s="1297"/>
      <c r="M34" s="1297"/>
      <c r="N34" s="1297"/>
      <c r="O34" s="1297"/>
      <c r="P34" s="1297"/>
      <c r="Q34" s="656"/>
      <c r="R34" s="719">
        <v>200000000</v>
      </c>
      <c r="S34" s="719">
        <v>200000000</v>
      </c>
      <c r="T34" s="719">
        <f t="shared" ref="T34:T42" si="5">+R34+S34</f>
        <v>400000000</v>
      </c>
      <c r="U34" s="720"/>
      <c r="V34" s="719">
        <f>SUM(V33:V33)</f>
        <v>0</v>
      </c>
      <c r="W34" s="719">
        <f>SUM(W33:W33)</f>
        <v>0</v>
      </c>
      <c r="X34" s="719">
        <f>SUM(X33:X33)</f>
        <v>0</v>
      </c>
      <c r="Y34" s="721"/>
      <c r="Z34" s="719"/>
      <c r="AA34" s="719"/>
      <c r="AB34" s="747" t="e">
        <f>+#REF!+#REF!+#REF!+#REF!</f>
        <v>#REF!</v>
      </c>
      <c r="AC34" s="748">
        <v>29216000</v>
      </c>
      <c r="AD34" s="749" t="e">
        <f>+AB34+AC34</f>
        <v>#REF!</v>
      </c>
    </row>
    <row r="35" spans="1:31" x14ac:dyDescent="0.2">
      <c r="A35" s="1301"/>
      <c r="B35" s="1319"/>
      <c r="C35" s="1260"/>
      <c r="D35" s="1321"/>
      <c r="E35" s="1321"/>
      <c r="F35" s="733" t="e">
        <f>+#REF!</f>
        <v>#REF!</v>
      </c>
      <c r="G35" s="742"/>
      <c r="H35" s="745"/>
      <c r="I35" s="743"/>
      <c r="J35" s="750"/>
      <c r="K35" s="746"/>
      <c r="L35" s="691"/>
      <c r="M35" s="746"/>
      <c r="N35" s="751"/>
      <c r="O35" s="751"/>
      <c r="P35" s="649"/>
      <c r="Q35" s="675"/>
      <c r="R35" s="737"/>
      <c r="S35" s="737"/>
      <c r="T35" s="650">
        <f t="shared" si="5"/>
        <v>0</v>
      </c>
      <c r="U35" s="651"/>
      <c r="V35" s="737"/>
      <c r="X35" s="737"/>
      <c r="Y35" s="741"/>
      <c r="Z35" s="737"/>
      <c r="AA35" s="650"/>
      <c r="AB35" s="654"/>
      <c r="AC35" s="654"/>
      <c r="AD35" s="654"/>
    </row>
    <row r="36" spans="1:31" x14ac:dyDescent="0.2">
      <c r="A36" s="1301"/>
      <c r="B36" s="1319"/>
      <c r="C36" s="1260"/>
      <c r="D36" s="1321"/>
      <c r="E36" s="1321"/>
      <c r="F36" s="1297" t="s">
        <v>596</v>
      </c>
      <c r="G36" s="1297"/>
      <c r="H36" s="1297"/>
      <c r="I36" s="1297"/>
      <c r="J36" s="1297"/>
      <c r="K36" s="1297"/>
      <c r="L36" s="1297"/>
      <c r="M36" s="1297"/>
      <c r="N36" s="1297"/>
      <c r="O36" s="1297"/>
      <c r="P36" s="1297"/>
      <c r="Q36" s="656"/>
      <c r="R36" s="719">
        <v>200000000</v>
      </c>
      <c r="S36" s="719">
        <f>+S35</f>
        <v>0</v>
      </c>
      <c r="T36" s="719">
        <f t="shared" si="5"/>
        <v>200000000</v>
      </c>
      <c r="U36" s="720"/>
      <c r="V36" s="719">
        <f t="shared" ref="V36" si="6">+V35</f>
        <v>0</v>
      </c>
      <c r="W36" s="719">
        <f>+V35</f>
        <v>0</v>
      </c>
      <c r="X36" s="719">
        <f t="shared" ref="X36" si="7">+X35</f>
        <v>0</v>
      </c>
      <c r="Y36" s="721"/>
      <c r="Z36" s="719"/>
      <c r="AA36" s="719"/>
      <c r="AB36" s="660"/>
      <c r="AC36" s="667">
        <v>0</v>
      </c>
      <c r="AD36" s="660">
        <f>+AB36+AC36</f>
        <v>0</v>
      </c>
    </row>
    <row r="37" spans="1:31" x14ac:dyDescent="0.2">
      <c r="A37" s="1316"/>
      <c r="B37" s="1319"/>
      <c r="C37" s="1260"/>
      <c r="D37" s="1321"/>
      <c r="E37" s="1321"/>
      <c r="F37" s="1303" t="s">
        <v>599</v>
      </c>
      <c r="G37" s="1303"/>
      <c r="H37" s="1303"/>
      <c r="I37" s="1303"/>
      <c r="J37" s="1303"/>
      <c r="K37" s="1303"/>
      <c r="L37" s="1303"/>
      <c r="M37" s="1303"/>
      <c r="N37" s="1303"/>
      <c r="O37" s="1303"/>
      <c r="P37" s="1303"/>
      <c r="Q37" s="731"/>
      <c r="R37" s="709">
        <f>+R34+R36</f>
        <v>400000000</v>
      </c>
      <c r="S37" s="709">
        <f>+S34+S36</f>
        <v>200000000</v>
      </c>
      <c r="T37" s="709">
        <f t="shared" si="5"/>
        <v>600000000</v>
      </c>
      <c r="U37" s="710"/>
      <c r="V37" s="709">
        <f>+V34+V36</f>
        <v>0</v>
      </c>
      <c r="W37" s="709">
        <f>+W34+W36</f>
        <v>0</v>
      </c>
      <c r="X37" s="709">
        <f>+V37+W37</f>
        <v>0</v>
      </c>
      <c r="Y37" s="711"/>
      <c r="Z37" s="709"/>
      <c r="AA37" s="709"/>
      <c r="AB37" s="752" t="e">
        <f>+AB34+AB36+#REF!</f>
        <v>#REF!</v>
      </c>
      <c r="AC37" s="752" t="e">
        <f>+AC34+AC36+#REF!</f>
        <v>#REF!</v>
      </c>
      <c r="AD37" s="752" t="e">
        <f>+AD34+AD36+#REF!</f>
        <v>#REF!</v>
      </c>
    </row>
    <row r="38" spans="1:31" ht="70.5" customHeight="1" x14ac:dyDescent="0.2">
      <c r="A38" s="1315"/>
      <c r="B38" s="1319"/>
      <c r="C38" s="1260"/>
      <c r="D38" s="1261" t="s">
        <v>540</v>
      </c>
      <c r="E38" s="1261" t="s">
        <v>540</v>
      </c>
      <c r="F38" s="753" t="e">
        <f>+#REF!</f>
        <v>#REF!</v>
      </c>
      <c r="G38" s="646"/>
      <c r="H38" s="646"/>
      <c r="I38" s="754"/>
      <c r="J38" s="646"/>
      <c r="K38" s="647"/>
      <c r="L38" s="647"/>
      <c r="M38" s="668"/>
      <c r="N38" s="755"/>
      <c r="O38" s="705"/>
      <c r="P38" s="649"/>
      <c r="Q38" s="756"/>
      <c r="R38" s="704"/>
      <c r="S38" s="737"/>
      <c r="T38" s="650">
        <f t="shared" si="5"/>
        <v>0</v>
      </c>
      <c r="U38" s="651"/>
      <c r="V38" s="701"/>
      <c r="W38" s="702"/>
      <c r="X38" s="650"/>
      <c r="Y38" s="652"/>
      <c r="Z38" s="757"/>
      <c r="AA38" s="650"/>
      <c r="AB38" s="654"/>
      <c r="AC38" s="654"/>
      <c r="AD38" s="654"/>
    </row>
    <row r="39" spans="1:31" ht="15" x14ac:dyDescent="0.25">
      <c r="A39" s="1301"/>
      <c r="B39" s="1319"/>
      <c r="C39" s="1260"/>
      <c r="D39" s="1302"/>
      <c r="E39" s="1302"/>
      <c r="F39" s="1317" t="s">
        <v>510</v>
      </c>
      <c r="G39" s="1317"/>
      <c r="H39" s="1317"/>
      <c r="I39" s="1317"/>
      <c r="J39" s="1317"/>
      <c r="K39" s="1317"/>
      <c r="L39" s="1317"/>
      <c r="M39" s="1317"/>
      <c r="N39" s="1317"/>
      <c r="O39" s="1317"/>
      <c r="P39" s="1317"/>
      <c r="Q39" s="758"/>
      <c r="R39" s="719">
        <v>359778280</v>
      </c>
      <c r="S39" s="719">
        <f>+S38</f>
        <v>0</v>
      </c>
      <c r="T39" s="719">
        <f t="shared" si="5"/>
        <v>359778280</v>
      </c>
      <c r="U39" s="720"/>
      <c r="V39" s="719">
        <f>SUM(V38:V38)</f>
        <v>0</v>
      </c>
      <c r="W39" s="719">
        <f>SUM(W38:W38)</f>
        <v>0</v>
      </c>
      <c r="X39" s="719">
        <f>SUM(X38:X38)</f>
        <v>0</v>
      </c>
      <c r="Y39" s="721"/>
      <c r="Z39" s="719"/>
      <c r="AA39" s="719"/>
      <c r="AB39" s="660"/>
      <c r="AC39" s="661">
        <v>7451434</v>
      </c>
      <c r="AD39" s="694"/>
    </row>
    <row r="40" spans="1:31" ht="30" customHeight="1" x14ac:dyDescent="0.25">
      <c r="A40" s="1316"/>
      <c r="B40" s="1320"/>
      <c r="C40" s="1261"/>
      <c r="D40" s="1302"/>
      <c r="E40" s="1302"/>
      <c r="F40" s="1303" t="s">
        <v>599</v>
      </c>
      <c r="G40" s="1303"/>
      <c r="H40" s="1303"/>
      <c r="I40" s="1303"/>
      <c r="J40" s="1303"/>
      <c r="K40" s="1303"/>
      <c r="L40" s="1303"/>
      <c r="M40" s="1303"/>
      <c r="N40" s="1303"/>
      <c r="O40" s="1303"/>
      <c r="P40" s="1303"/>
      <c r="Q40" s="731"/>
      <c r="R40" s="709">
        <f>+R39</f>
        <v>359778280</v>
      </c>
      <c r="S40" s="709">
        <f>+S39</f>
        <v>0</v>
      </c>
      <c r="T40" s="709">
        <f t="shared" si="5"/>
        <v>359778280</v>
      </c>
      <c r="U40" s="709"/>
      <c r="V40" s="709" t="e">
        <f>+V39+#REF!+#REF!+#REF!+#REF!</f>
        <v>#REF!</v>
      </c>
      <c r="W40" s="709" t="e">
        <f>+W39+#REF!+#REF!+#REF!+#REF!</f>
        <v>#REF!</v>
      </c>
      <c r="X40" s="709" t="e">
        <f>+X39+#REF!+#REF!+#REF!+#REF!</f>
        <v>#REF!</v>
      </c>
      <c r="Y40" s="711"/>
      <c r="Z40" s="709"/>
      <c r="AA40" s="709"/>
      <c r="AB40" s="761" t="e">
        <f>+AB39+#REF!+#REF!+#REF!+#REF!</f>
        <v>#REF!</v>
      </c>
      <c r="AC40" s="761" t="e">
        <f>+AC39+#REF!+#REF!+#REF!+#REF!</f>
        <v>#REF!</v>
      </c>
      <c r="AD40" s="761" t="e">
        <f>+AB40+AC40</f>
        <v>#REF!</v>
      </c>
    </row>
    <row r="41" spans="1:31" ht="30.75" customHeight="1" x14ac:dyDescent="0.2">
      <c r="A41" s="1310" t="s">
        <v>603</v>
      </c>
      <c r="B41" s="1310"/>
      <c r="C41" s="1310"/>
      <c r="D41" s="1310"/>
      <c r="E41" s="1310"/>
      <c r="F41" s="1310"/>
      <c r="G41" s="1310"/>
      <c r="H41" s="1310"/>
      <c r="I41" s="1310"/>
      <c r="J41" s="1310"/>
      <c r="K41" s="1310"/>
      <c r="L41" s="1310"/>
      <c r="M41" s="1310"/>
      <c r="N41" s="1310"/>
      <c r="O41" s="1310"/>
      <c r="P41" s="1310"/>
      <c r="Q41" s="762"/>
      <c r="R41" s="763">
        <f>+R32+R37+R40</f>
        <v>1679178021</v>
      </c>
      <c r="S41" s="763">
        <f>+S32+S37+S40</f>
        <v>900000000</v>
      </c>
      <c r="T41" s="763">
        <f t="shared" si="5"/>
        <v>2579178021</v>
      </c>
      <c r="U41" s="763"/>
      <c r="V41" s="764" t="e">
        <f>+#REF!+V32+V37+V40</f>
        <v>#REF!</v>
      </c>
      <c r="W41" s="764" t="e">
        <f>+#REF!+W32+W37+W40</f>
        <v>#REF!</v>
      </c>
      <c r="X41" s="764" t="e">
        <f>+#REF!+X32+X37+X40</f>
        <v>#REF!</v>
      </c>
      <c r="Y41" s="760"/>
      <c r="Z41" s="740"/>
      <c r="AA41" s="740"/>
    </row>
    <row r="42" spans="1:31" ht="32.25" customHeight="1" x14ac:dyDescent="0.2">
      <c r="A42" s="1311" t="s">
        <v>604</v>
      </c>
      <c r="B42" s="1311"/>
      <c r="C42" s="1311"/>
      <c r="D42" s="1311"/>
      <c r="E42" s="1311"/>
      <c r="F42" s="1311"/>
      <c r="G42" s="1311"/>
      <c r="H42" s="1311"/>
      <c r="I42" s="1311"/>
      <c r="J42" s="1311"/>
      <c r="K42" s="1311"/>
      <c r="L42" s="1311"/>
      <c r="M42" s="1311"/>
      <c r="N42" s="1311"/>
      <c r="O42" s="1311"/>
      <c r="P42" s="1311"/>
      <c r="Q42" s="765"/>
      <c r="R42" s="740">
        <f>+R29+R41</f>
        <v>3000959000</v>
      </c>
      <c r="S42" s="740">
        <f>+S29+S41</f>
        <v>1500000000</v>
      </c>
      <c r="T42" s="740">
        <f t="shared" si="5"/>
        <v>4500959000</v>
      </c>
      <c r="U42" s="740"/>
      <c r="V42" s="740" t="e">
        <f>+V29+V41</f>
        <v>#REF!</v>
      </c>
      <c r="W42" s="740" t="e">
        <f>+W29+W41</f>
        <v>#REF!</v>
      </c>
      <c r="X42" s="740" t="e">
        <f>+X29+X41</f>
        <v>#REF!</v>
      </c>
      <c r="Y42" s="760"/>
      <c r="Z42" s="740"/>
      <c r="AA42" s="740"/>
      <c r="AE42" s="766"/>
    </row>
    <row r="43" spans="1:31" ht="15" x14ac:dyDescent="0.25">
      <c r="A43" s="1312" t="s">
        <v>528</v>
      </c>
      <c r="B43" s="1313"/>
      <c r="C43" s="1313"/>
      <c r="D43" s="1314"/>
      <c r="E43" s="1312" t="s">
        <v>605</v>
      </c>
      <c r="F43" s="1313"/>
      <c r="G43" s="1313"/>
      <c r="H43" s="1313"/>
      <c r="I43" s="1313"/>
      <c r="J43" s="1313"/>
      <c r="K43" s="1313"/>
      <c r="L43" s="1313"/>
      <c r="M43" s="1313"/>
      <c r="N43" s="1313"/>
      <c r="O43" s="1313"/>
      <c r="P43" s="1313"/>
      <c r="Q43" s="1313"/>
      <c r="R43" s="1313"/>
      <c r="S43" s="1313"/>
      <c r="T43" s="1314"/>
      <c r="U43" s="767"/>
      <c r="V43" s="655"/>
      <c r="W43" s="655"/>
      <c r="AD43" s="561"/>
    </row>
    <row r="44" spans="1:31" ht="14.25" x14ac:dyDescent="0.2">
      <c r="A44" s="1307" t="s">
        <v>571</v>
      </c>
      <c r="B44" s="1308"/>
      <c r="C44" s="1308"/>
      <c r="D44" s="1309"/>
      <c r="E44" s="1307" t="s">
        <v>606</v>
      </c>
      <c r="F44" s="1308"/>
      <c r="G44" s="1308"/>
      <c r="H44" s="1308"/>
      <c r="I44" s="1308"/>
      <c r="J44" s="1308"/>
      <c r="K44" s="1308"/>
      <c r="L44" s="1308"/>
      <c r="M44" s="1308"/>
      <c r="N44" s="1308"/>
      <c r="O44" s="1308"/>
      <c r="P44" s="1308"/>
      <c r="Q44" s="1308"/>
      <c r="R44" s="1308"/>
      <c r="S44" s="1308"/>
      <c r="T44" s="1309"/>
      <c r="U44" s="768"/>
      <c r="X44" s="655"/>
    </row>
    <row r="45" spans="1:31" ht="14.25" x14ac:dyDescent="0.2">
      <c r="A45" s="1307" t="s">
        <v>573</v>
      </c>
      <c r="B45" s="1308"/>
      <c r="C45" s="1308"/>
      <c r="D45" s="1309"/>
      <c r="E45" s="1307" t="s">
        <v>607</v>
      </c>
      <c r="F45" s="1308"/>
      <c r="G45" s="1308"/>
      <c r="H45" s="1308"/>
      <c r="I45" s="1308"/>
      <c r="J45" s="1308"/>
      <c r="K45" s="1308"/>
      <c r="L45" s="1308"/>
      <c r="M45" s="1308"/>
      <c r="N45" s="1308"/>
      <c r="O45" s="1308"/>
      <c r="P45" s="1308"/>
      <c r="Q45" s="1308"/>
      <c r="R45" s="1308"/>
      <c r="S45" s="1308"/>
      <c r="T45" s="1309"/>
      <c r="U45" s="768"/>
    </row>
    <row r="46" spans="1:31" ht="14.25" x14ac:dyDescent="0.2">
      <c r="A46" s="1307" t="s">
        <v>608</v>
      </c>
      <c r="B46" s="1308"/>
      <c r="C46" s="1308"/>
      <c r="D46" s="1309"/>
      <c r="E46" s="1307" t="s">
        <v>609</v>
      </c>
      <c r="F46" s="1308"/>
      <c r="G46" s="1308"/>
      <c r="H46" s="1308"/>
      <c r="I46" s="1308"/>
      <c r="J46" s="1308"/>
      <c r="K46" s="1308"/>
      <c r="L46" s="1308"/>
      <c r="M46" s="1308"/>
      <c r="N46" s="1308"/>
      <c r="O46" s="1308"/>
      <c r="P46" s="1308"/>
      <c r="Q46" s="1308"/>
      <c r="R46" s="1308"/>
      <c r="S46" s="1308"/>
      <c r="T46" s="1309"/>
      <c r="U46" s="769"/>
      <c r="V46" s="1322"/>
      <c r="W46" s="1323"/>
      <c r="X46" s="770"/>
      <c r="Y46" s="771"/>
      <c r="Z46" s="772"/>
      <c r="AA46" s="772"/>
    </row>
    <row r="47" spans="1:31" ht="29.25" customHeight="1" x14ac:dyDescent="0.2">
      <c r="A47" s="1324" t="s">
        <v>576</v>
      </c>
      <c r="B47" s="1326" t="s">
        <v>577</v>
      </c>
      <c r="C47" s="1326" t="s">
        <v>578</v>
      </c>
      <c r="D47" s="1326" t="s">
        <v>579</v>
      </c>
      <c r="E47" s="1326" t="s">
        <v>580</v>
      </c>
      <c r="F47" s="1326" t="s">
        <v>3</v>
      </c>
      <c r="G47" s="1326" t="s">
        <v>581</v>
      </c>
      <c r="H47" s="1326" t="s">
        <v>592</v>
      </c>
      <c r="I47" s="1328" t="s">
        <v>17</v>
      </c>
      <c r="J47" s="1328" t="s">
        <v>582</v>
      </c>
      <c r="K47" s="1341" t="s">
        <v>583</v>
      </c>
      <c r="L47" s="1341" t="s">
        <v>736</v>
      </c>
      <c r="M47" s="1341" t="s">
        <v>584</v>
      </c>
      <c r="N47" s="1343" t="s">
        <v>585</v>
      </c>
      <c r="O47" s="1344"/>
      <c r="P47" s="1345"/>
      <c r="Q47" s="773"/>
      <c r="R47" s="1346" t="s">
        <v>5</v>
      </c>
      <c r="S47" s="1333" t="s">
        <v>6</v>
      </c>
      <c r="T47" s="1335" t="s">
        <v>7</v>
      </c>
      <c r="U47" s="1330" t="s">
        <v>587</v>
      </c>
      <c r="V47" s="1332" t="str">
        <f>+V14</f>
        <v xml:space="preserve">Seguimiento a </v>
      </c>
      <c r="W47" s="1275"/>
      <c r="X47" s="774" t="s">
        <v>7</v>
      </c>
      <c r="Y47" s="775" t="s">
        <v>480</v>
      </c>
      <c r="Z47" s="776" t="s">
        <v>479</v>
      </c>
      <c r="AA47" s="776" t="s">
        <v>478</v>
      </c>
    </row>
    <row r="48" spans="1:31" ht="65.25" customHeight="1" x14ac:dyDescent="0.2">
      <c r="A48" s="1325"/>
      <c r="B48" s="1327"/>
      <c r="C48" s="1327"/>
      <c r="D48" s="1327"/>
      <c r="E48" s="1327"/>
      <c r="F48" s="1327"/>
      <c r="G48" s="1327"/>
      <c r="H48" s="1327"/>
      <c r="I48" s="1329"/>
      <c r="J48" s="1329"/>
      <c r="K48" s="1342"/>
      <c r="L48" s="1342"/>
      <c r="M48" s="1342"/>
      <c r="N48" s="777" t="s">
        <v>593</v>
      </c>
      <c r="O48" s="777" t="s">
        <v>594</v>
      </c>
      <c r="P48" s="777" t="s">
        <v>595</v>
      </c>
      <c r="Q48" s="778"/>
      <c r="R48" s="1347"/>
      <c r="S48" s="1334"/>
      <c r="T48" s="1336"/>
      <c r="U48" s="1331"/>
      <c r="V48" s="779" t="s">
        <v>610</v>
      </c>
      <c r="W48" s="780" t="s">
        <v>611</v>
      </c>
      <c r="X48" s="781"/>
      <c r="Y48" s="782"/>
      <c r="Z48" s="783"/>
      <c r="AA48" s="783"/>
    </row>
    <row r="49" spans="1:32" ht="60" customHeight="1" x14ac:dyDescent="0.2">
      <c r="A49" s="1337" t="str">
        <f>+E46</f>
        <v>184 Fortalecimiento de la gestión educativa institucional</v>
      </c>
      <c r="B49" s="1318" t="s">
        <v>612</v>
      </c>
      <c r="C49" s="1338" t="s">
        <v>562</v>
      </c>
      <c r="D49" s="1339" t="s">
        <v>534</v>
      </c>
      <c r="E49" s="1340" t="s">
        <v>613</v>
      </c>
      <c r="F49" s="1351" t="e">
        <f>+#REF!</f>
        <v>#REF!</v>
      </c>
      <c r="G49" s="831"/>
      <c r="H49" s="831"/>
      <c r="I49" s="858" t="s">
        <v>623</v>
      </c>
      <c r="J49" s="744"/>
      <c r="K49" s="833"/>
      <c r="L49" s="833"/>
      <c r="M49" s="833"/>
      <c r="N49" s="834"/>
      <c r="O49" s="835"/>
      <c r="P49" s="836"/>
      <c r="Q49" s="784"/>
      <c r="R49" s="785">
        <v>51480000</v>
      </c>
      <c r="S49" s="786"/>
      <c r="T49" s="786">
        <f t="shared" ref="T49:T57" si="8">+R49+S49</f>
        <v>51480000</v>
      </c>
      <c r="U49" s="787"/>
      <c r="V49" s="785"/>
      <c r="W49" s="786"/>
      <c r="X49" s="786"/>
      <c r="Y49" s="788"/>
      <c r="Z49" s="787"/>
      <c r="AA49" s="789"/>
    </row>
    <row r="50" spans="1:32" ht="14.25" x14ac:dyDescent="0.2">
      <c r="A50" s="1337"/>
      <c r="B50" s="1319"/>
      <c r="C50" s="1338"/>
      <c r="D50" s="1339"/>
      <c r="E50" s="1340"/>
      <c r="F50" s="1352"/>
      <c r="G50" s="831"/>
      <c r="H50" s="831"/>
      <c r="I50" s="858" t="s">
        <v>624</v>
      </c>
      <c r="J50" s="744"/>
      <c r="K50" s="833"/>
      <c r="L50" s="833"/>
      <c r="M50" s="833"/>
      <c r="N50" s="834"/>
      <c r="O50" s="835"/>
      <c r="P50" s="836"/>
      <c r="Q50" s="784"/>
      <c r="R50" s="785">
        <v>51480000</v>
      </c>
      <c r="S50" s="786"/>
      <c r="T50" s="786">
        <f t="shared" si="8"/>
        <v>51480000</v>
      </c>
      <c r="U50" s="787"/>
      <c r="V50" s="785"/>
      <c r="W50" s="786"/>
      <c r="X50" s="786"/>
      <c r="Y50" s="788"/>
      <c r="Z50" s="787"/>
      <c r="AA50" s="789"/>
    </row>
    <row r="51" spans="1:32" ht="14.25" x14ac:dyDescent="0.2">
      <c r="A51" s="1337"/>
      <c r="B51" s="1319"/>
      <c r="C51" s="1338"/>
      <c r="D51" s="1339"/>
      <c r="E51" s="1340"/>
      <c r="F51" s="1352"/>
      <c r="G51" s="831"/>
      <c r="H51" s="831"/>
      <c r="I51" s="858" t="s">
        <v>624</v>
      </c>
      <c r="J51" s="744"/>
      <c r="K51" s="833"/>
      <c r="L51" s="833"/>
      <c r="M51" s="833"/>
      <c r="N51" s="834"/>
      <c r="O51" s="835"/>
      <c r="P51" s="836"/>
      <c r="Q51" s="784"/>
      <c r="R51" s="785">
        <v>44044000</v>
      </c>
      <c r="S51" s="786"/>
      <c r="T51" s="786">
        <f t="shared" si="8"/>
        <v>44044000</v>
      </c>
      <c r="U51" s="787"/>
      <c r="V51" s="785"/>
      <c r="W51" s="786"/>
      <c r="X51" s="786"/>
      <c r="Y51" s="788"/>
      <c r="Z51" s="787"/>
      <c r="AA51" s="789"/>
    </row>
    <row r="52" spans="1:32" ht="12.75" x14ac:dyDescent="0.2">
      <c r="A52" s="1337"/>
      <c r="B52" s="1319"/>
      <c r="C52" s="1338"/>
      <c r="D52" s="1339"/>
      <c r="E52" s="1340"/>
      <c r="F52" s="1352"/>
      <c r="G52" s="831"/>
      <c r="H52" s="831"/>
      <c r="I52" s="832" t="s">
        <v>647</v>
      </c>
      <c r="J52" s="744"/>
      <c r="K52" s="833"/>
      <c r="L52" s="833"/>
      <c r="M52" s="833"/>
      <c r="N52" s="834"/>
      <c r="O52" s="835"/>
      <c r="P52" s="836"/>
      <c r="Q52" s="784"/>
      <c r="R52" s="785">
        <v>34320000</v>
      </c>
      <c r="S52" s="786"/>
      <c r="T52" s="786">
        <f t="shared" si="8"/>
        <v>34320000</v>
      </c>
      <c r="U52" s="787"/>
      <c r="V52" s="785"/>
      <c r="W52" s="786"/>
      <c r="X52" s="786"/>
      <c r="Y52" s="788"/>
      <c r="Z52" s="787"/>
      <c r="AA52" s="789"/>
    </row>
    <row r="53" spans="1:32" ht="12.75" x14ac:dyDescent="0.2">
      <c r="A53" s="1337"/>
      <c r="B53" s="1319"/>
      <c r="C53" s="1338"/>
      <c r="D53" s="1339"/>
      <c r="E53" s="1340"/>
      <c r="F53" s="1352"/>
      <c r="G53" s="831"/>
      <c r="H53" s="831"/>
      <c r="I53" s="832" t="s">
        <v>647</v>
      </c>
      <c r="J53" s="744"/>
      <c r="K53" s="833"/>
      <c r="L53" s="833"/>
      <c r="M53" s="833"/>
      <c r="N53" s="834"/>
      <c r="O53" s="835"/>
      <c r="P53" s="836"/>
      <c r="Q53" s="784"/>
      <c r="R53" s="785">
        <v>80451125.040000007</v>
      </c>
      <c r="S53" s="786"/>
      <c r="T53" s="786">
        <f t="shared" si="8"/>
        <v>80451125.040000007</v>
      </c>
      <c r="U53" s="787"/>
      <c r="V53" s="785"/>
      <c r="W53" s="786"/>
      <c r="X53" s="786"/>
      <c r="Y53" s="788"/>
      <c r="Z53" s="787"/>
      <c r="AA53" s="789"/>
    </row>
    <row r="54" spans="1:32" ht="12.75" x14ac:dyDescent="0.2">
      <c r="A54" s="1337"/>
      <c r="B54" s="1319"/>
      <c r="C54" s="1338"/>
      <c r="D54" s="1339"/>
      <c r="E54" s="1340"/>
      <c r="F54" s="1352"/>
      <c r="G54" s="831"/>
      <c r="H54" s="831"/>
      <c r="I54" s="832" t="s">
        <v>647</v>
      </c>
      <c r="J54" s="744"/>
      <c r="K54" s="833"/>
      <c r="L54" s="833"/>
      <c r="M54" s="833"/>
      <c r="N54" s="834"/>
      <c r="O54" s="835"/>
      <c r="P54" s="836"/>
      <c r="Q54" s="784"/>
      <c r="R54" s="785">
        <v>30000000</v>
      </c>
      <c r="S54" s="786"/>
      <c r="T54" s="786">
        <f t="shared" si="8"/>
        <v>30000000</v>
      </c>
      <c r="U54" s="787"/>
      <c r="V54" s="785"/>
      <c r="W54" s="786"/>
      <c r="X54" s="786"/>
      <c r="Y54" s="788"/>
      <c r="Z54" s="787"/>
      <c r="AA54" s="789"/>
    </row>
    <row r="55" spans="1:32" ht="25.5" x14ac:dyDescent="0.2">
      <c r="A55" s="1337"/>
      <c r="B55" s="1319"/>
      <c r="C55" s="1338"/>
      <c r="D55" s="1339"/>
      <c r="E55" s="1340"/>
      <c r="F55" s="1352"/>
      <c r="G55" s="831"/>
      <c r="H55" s="831"/>
      <c r="I55" s="832" t="s">
        <v>648</v>
      </c>
      <c r="J55" s="744"/>
      <c r="K55" s="833"/>
      <c r="L55" s="833"/>
      <c r="M55" s="833"/>
      <c r="N55" s="834"/>
      <c r="O55" s="835"/>
      <c r="P55" s="836"/>
      <c r="Q55" s="784"/>
      <c r="R55" s="785">
        <v>17850000</v>
      </c>
      <c r="S55" s="786"/>
      <c r="T55" s="786">
        <f t="shared" si="8"/>
        <v>17850000</v>
      </c>
      <c r="U55" s="787"/>
      <c r="V55" s="785"/>
      <c r="W55" s="786"/>
      <c r="X55" s="786"/>
      <c r="Y55" s="788"/>
      <c r="Z55" s="787"/>
      <c r="AA55" s="789"/>
    </row>
    <row r="56" spans="1:32" ht="45" x14ac:dyDescent="0.2">
      <c r="A56" s="1337"/>
      <c r="B56" s="1319"/>
      <c r="C56" s="1338"/>
      <c r="D56" s="1339"/>
      <c r="E56" s="1340"/>
      <c r="F56" s="1352"/>
      <c r="G56" s="831"/>
      <c r="H56" s="831"/>
      <c r="I56" s="883" t="s">
        <v>735</v>
      </c>
      <c r="J56" s="744"/>
      <c r="K56" s="833"/>
      <c r="L56" s="833"/>
      <c r="M56" s="833"/>
      <c r="N56" s="834"/>
      <c r="O56" s="835"/>
      <c r="P56" s="836"/>
      <c r="Q56" s="784"/>
      <c r="R56" s="785">
        <v>39050668.800000004</v>
      </c>
      <c r="S56" s="786"/>
      <c r="T56" s="786">
        <f t="shared" si="8"/>
        <v>39050668.800000004</v>
      </c>
      <c r="U56" s="787"/>
      <c r="V56" s="785"/>
      <c r="W56" s="786"/>
      <c r="X56" s="786"/>
      <c r="Y56" s="788"/>
      <c r="Z56" s="787"/>
      <c r="AA56" s="789"/>
      <c r="AF56" s="655"/>
    </row>
    <row r="57" spans="1:32" ht="15" x14ac:dyDescent="0.2">
      <c r="A57" s="1337"/>
      <c r="B57" s="1319"/>
      <c r="C57" s="1338"/>
      <c r="D57" s="1339"/>
      <c r="E57" s="1340"/>
      <c r="F57" s="1352"/>
      <c r="G57" s="831"/>
      <c r="H57" s="831"/>
      <c r="I57" s="939" t="s">
        <v>657</v>
      </c>
      <c r="J57" s="744"/>
      <c r="K57" s="833"/>
      <c r="L57" s="833"/>
      <c r="M57" s="833"/>
      <c r="N57" s="834"/>
      <c r="O57" s="835"/>
      <c r="P57" s="836"/>
      <c r="Q57" s="784"/>
      <c r="R57" s="785"/>
      <c r="S57" s="786"/>
      <c r="T57" s="786">
        <f t="shared" si="8"/>
        <v>0</v>
      </c>
      <c r="U57" s="787"/>
      <c r="V57" s="785"/>
      <c r="W57" s="786"/>
      <c r="X57" s="786"/>
      <c r="Y57" s="788"/>
      <c r="Z57" s="787"/>
      <c r="AA57" s="789"/>
      <c r="AF57" s="655"/>
    </row>
    <row r="58" spans="1:32" ht="21.75" customHeight="1" x14ac:dyDescent="0.2">
      <c r="A58" s="1337"/>
      <c r="B58" s="1319"/>
      <c r="C58" s="1338"/>
      <c r="D58" s="1339"/>
      <c r="E58" s="1340"/>
      <c r="F58" s="1352"/>
      <c r="G58" s="831"/>
      <c r="H58" s="831"/>
      <c r="I58" s="832" t="s">
        <v>666</v>
      </c>
      <c r="J58" s="744"/>
      <c r="K58" s="833"/>
      <c r="L58" s="833"/>
      <c r="M58" s="833"/>
      <c r="N58" s="834"/>
      <c r="O58" s="835"/>
      <c r="P58" s="836"/>
      <c r="Q58" s="784"/>
      <c r="R58" s="940"/>
      <c r="S58" s="786"/>
      <c r="T58" s="786">
        <f t="shared" ref="T58:T69" si="9">+R58+S58</f>
        <v>0</v>
      </c>
      <c r="U58" s="787"/>
      <c r="V58" s="785"/>
      <c r="W58" s="786"/>
      <c r="X58" s="786"/>
      <c r="Y58" s="788"/>
      <c r="Z58" s="787"/>
      <c r="AA58" s="789"/>
    </row>
    <row r="59" spans="1:32" ht="25.5" x14ac:dyDescent="0.2">
      <c r="A59" s="1337"/>
      <c r="B59" s="1319"/>
      <c r="C59" s="1338"/>
      <c r="D59" s="1339"/>
      <c r="E59" s="1340"/>
      <c r="F59" s="1352"/>
      <c r="G59" s="831"/>
      <c r="H59" s="831"/>
      <c r="I59" s="832" t="s">
        <v>672</v>
      </c>
      <c r="J59" s="744"/>
      <c r="K59" s="833"/>
      <c r="L59" s="833"/>
      <c r="M59" s="833"/>
      <c r="N59" s="834"/>
      <c r="O59" s="835"/>
      <c r="P59" s="836"/>
      <c r="Q59" s="784"/>
      <c r="R59" s="940"/>
      <c r="S59" s="786"/>
      <c r="T59" s="786">
        <f t="shared" si="9"/>
        <v>0</v>
      </c>
      <c r="U59" s="787"/>
      <c r="V59" s="785"/>
      <c r="W59" s="786"/>
      <c r="X59" s="786"/>
      <c r="Y59" s="788"/>
      <c r="Z59" s="787"/>
      <c r="AA59" s="789"/>
    </row>
    <row r="60" spans="1:32" ht="38.25" x14ac:dyDescent="0.2">
      <c r="A60" s="1337"/>
      <c r="B60" s="1319"/>
      <c r="C60" s="1338"/>
      <c r="D60" s="1339"/>
      <c r="E60" s="1340"/>
      <c r="F60" s="1352"/>
      <c r="G60" s="831"/>
      <c r="H60" s="831"/>
      <c r="I60" s="832" t="s">
        <v>675</v>
      </c>
      <c r="J60" s="744"/>
      <c r="K60" s="833"/>
      <c r="L60" s="833"/>
      <c r="M60" s="833"/>
      <c r="N60" s="834"/>
      <c r="O60" s="835"/>
      <c r="P60" s="836"/>
      <c r="Q60" s="784"/>
      <c r="R60" s="940"/>
      <c r="S60" s="786">
        <v>56000000</v>
      </c>
      <c r="T60" s="786">
        <f t="shared" si="9"/>
        <v>56000000</v>
      </c>
      <c r="U60" s="787"/>
      <c r="V60" s="785"/>
      <c r="W60" s="786"/>
      <c r="X60" s="786"/>
      <c r="Y60" s="788"/>
      <c r="Z60" s="787"/>
      <c r="AA60" s="789"/>
    </row>
    <row r="61" spans="1:32" ht="15" x14ac:dyDescent="0.2">
      <c r="A61" s="1337"/>
      <c r="B61" s="1319"/>
      <c r="C61" s="1338"/>
      <c r="D61" s="1339"/>
      <c r="E61" s="1340"/>
      <c r="F61" s="1352"/>
      <c r="G61" s="831"/>
      <c r="H61" s="831"/>
      <c r="I61" s="832" t="s">
        <v>678</v>
      </c>
      <c r="J61" s="744"/>
      <c r="K61" s="833"/>
      <c r="L61" s="833"/>
      <c r="M61" s="833"/>
      <c r="N61" s="834"/>
      <c r="O61" s="835"/>
      <c r="P61" s="836"/>
      <c r="Q61" s="784"/>
      <c r="R61" s="940">
        <v>7891904.4800000191</v>
      </c>
      <c r="S61" s="786"/>
      <c r="T61" s="786">
        <f t="shared" si="9"/>
        <v>7891904.4800000191</v>
      </c>
      <c r="U61" s="787"/>
      <c r="V61" s="785"/>
      <c r="W61" s="786"/>
      <c r="X61" s="786"/>
      <c r="Y61" s="788"/>
      <c r="Z61" s="787"/>
      <c r="AA61" s="789"/>
    </row>
    <row r="62" spans="1:32" ht="38.25" x14ac:dyDescent="0.2">
      <c r="A62" s="1337"/>
      <c r="B62" s="1319"/>
      <c r="C62" s="1338"/>
      <c r="D62" s="1339"/>
      <c r="E62" s="1340"/>
      <c r="F62" s="1352"/>
      <c r="G62" s="831"/>
      <c r="H62" s="831"/>
      <c r="I62" s="832" t="s">
        <v>679</v>
      </c>
      <c r="J62" s="744"/>
      <c r="K62" s="833"/>
      <c r="L62" s="833"/>
      <c r="M62" s="833"/>
      <c r="N62" s="834"/>
      <c r="O62" s="835"/>
      <c r="P62" s="836"/>
      <c r="Q62" s="784"/>
      <c r="R62" s="940">
        <v>10594000</v>
      </c>
      <c r="S62" s="786">
        <v>4406000</v>
      </c>
      <c r="T62" s="786">
        <f t="shared" si="9"/>
        <v>15000000</v>
      </c>
      <c r="U62" s="787"/>
      <c r="V62" s="785"/>
      <c r="W62" s="786"/>
      <c r="X62" s="786"/>
      <c r="Y62" s="788"/>
      <c r="Z62" s="787"/>
      <c r="AA62" s="789"/>
      <c r="AF62" s="655"/>
    </row>
    <row r="63" spans="1:32" ht="25.5" x14ac:dyDescent="0.2">
      <c r="A63" s="1337"/>
      <c r="B63" s="1319"/>
      <c r="C63" s="1338"/>
      <c r="D63" s="1339"/>
      <c r="E63" s="1340"/>
      <c r="F63" s="1352"/>
      <c r="G63" s="831"/>
      <c r="H63" s="831"/>
      <c r="I63" s="832" t="s">
        <v>681</v>
      </c>
      <c r="J63" s="744"/>
      <c r="K63" s="833"/>
      <c r="L63" s="833"/>
      <c r="M63" s="833"/>
      <c r="N63" s="834"/>
      <c r="O63" s="835"/>
      <c r="P63" s="836"/>
      <c r="Q63" s="784"/>
      <c r="R63" s="940"/>
      <c r="S63" s="786"/>
      <c r="T63" s="786">
        <f t="shared" si="9"/>
        <v>0</v>
      </c>
      <c r="U63" s="787"/>
      <c r="V63" s="785"/>
      <c r="W63" s="786"/>
      <c r="X63" s="786"/>
      <c r="Y63" s="788"/>
      <c r="Z63" s="787"/>
      <c r="AA63" s="789"/>
    </row>
    <row r="64" spans="1:32" ht="51" x14ac:dyDescent="0.2">
      <c r="A64" s="1337"/>
      <c r="B64" s="1319"/>
      <c r="C64" s="1338"/>
      <c r="D64" s="1339"/>
      <c r="E64" s="1340"/>
      <c r="F64" s="1352"/>
      <c r="G64" s="831"/>
      <c r="H64" s="831"/>
      <c r="I64" s="832" t="s">
        <v>682</v>
      </c>
      <c r="J64" s="744"/>
      <c r="K64" s="833"/>
      <c r="L64" s="833"/>
      <c r="M64" s="833"/>
      <c r="N64" s="834"/>
      <c r="O64" s="835"/>
      <c r="P64" s="836"/>
      <c r="Q64" s="784"/>
      <c r="R64" s="941">
        <v>30000000</v>
      </c>
      <c r="S64" s="786"/>
      <c r="T64" s="786">
        <f t="shared" si="9"/>
        <v>30000000</v>
      </c>
      <c r="U64" s="787"/>
      <c r="V64" s="785"/>
      <c r="W64" s="786"/>
      <c r="X64" s="786"/>
      <c r="Y64" s="788"/>
      <c r="Z64" s="787"/>
      <c r="AA64" s="789"/>
    </row>
    <row r="65" spans="1:30" ht="38.25" x14ac:dyDescent="0.2">
      <c r="A65" s="1337"/>
      <c r="B65" s="1319"/>
      <c r="C65" s="1338"/>
      <c r="D65" s="1339"/>
      <c r="E65" s="1340"/>
      <c r="F65" s="1352"/>
      <c r="G65" s="831"/>
      <c r="H65" s="831"/>
      <c r="I65" s="832" t="s">
        <v>683</v>
      </c>
      <c r="J65" s="744"/>
      <c r="K65" s="833"/>
      <c r="L65" s="833"/>
      <c r="M65" s="833"/>
      <c r="N65" s="834"/>
      <c r="O65" s="835"/>
      <c r="P65" s="836"/>
      <c r="Q65" s="784"/>
      <c r="R65" s="940"/>
      <c r="S65" s="786"/>
      <c r="T65" s="786">
        <f t="shared" si="9"/>
        <v>0</v>
      </c>
      <c r="U65" s="787"/>
      <c r="V65" s="785"/>
      <c r="W65" s="786"/>
      <c r="X65" s="786"/>
      <c r="Y65" s="788"/>
      <c r="Z65" s="787"/>
      <c r="AA65" s="789"/>
    </row>
    <row r="66" spans="1:30" ht="15" x14ac:dyDescent="0.2">
      <c r="A66" s="1337"/>
      <c r="B66" s="1319"/>
      <c r="C66" s="1338"/>
      <c r="D66" s="1339"/>
      <c r="E66" s="1340"/>
      <c r="F66" s="1352"/>
      <c r="G66" s="831"/>
      <c r="H66" s="831"/>
      <c r="I66" s="832" t="s">
        <v>684</v>
      </c>
      <c r="J66" s="744"/>
      <c r="K66" s="833"/>
      <c r="L66" s="833"/>
      <c r="M66" s="833"/>
      <c r="N66" s="834"/>
      <c r="O66" s="835"/>
      <c r="P66" s="836"/>
      <c r="Q66" s="784"/>
      <c r="R66" s="940">
        <v>62650598.399999999</v>
      </c>
      <c r="S66" s="786"/>
      <c r="T66" s="786">
        <f t="shared" si="9"/>
        <v>62650598.399999999</v>
      </c>
      <c r="U66" s="787"/>
      <c r="V66" s="785"/>
      <c r="W66" s="786"/>
      <c r="X66" s="786"/>
      <c r="Y66" s="788"/>
      <c r="Z66" s="787"/>
      <c r="AA66" s="789"/>
    </row>
    <row r="67" spans="1:30" ht="15.75" x14ac:dyDescent="0.2">
      <c r="A67" s="1337"/>
      <c r="B67" s="1319"/>
      <c r="C67" s="1338"/>
      <c r="D67" s="1339"/>
      <c r="E67" s="1340"/>
      <c r="F67" s="1352"/>
      <c r="G67" s="831"/>
      <c r="H67" s="831"/>
      <c r="I67" s="832" t="s">
        <v>692</v>
      </c>
      <c r="J67" s="744"/>
      <c r="K67" s="833"/>
      <c r="L67" s="833"/>
      <c r="M67" s="833"/>
      <c r="N67" s="834"/>
      <c r="O67" s="835"/>
      <c r="P67" s="836"/>
      <c r="Q67" s="784"/>
      <c r="R67" s="942">
        <v>25168000</v>
      </c>
      <c r="S67" s="786"/>
      <c r="T67" s="786">
        <f t="shared" si="9"/>
        <v>25168000</v>
      </c>
      <c r="U67" s="787"/>
      <c r="V67" s="785"/>
      <c r="W67" s="786"/>
      <c r="X67" s="786"/>
      <c r="Y67" s="788"/>
      <c r="Z67" s="787"/>
      <c r="AA67" s="789"/>
    </row>
    <row r="68" spans="1:30" ht="25.5" x14ac:dyDescent="0.2">
      <c r="A68" s="1337"/>
      <c r="B68" s="1319"/>
      <c r="C68" s="1338"/>
      <c r="D68" s="1339"/>
      <c r="E68" s="1340"/>
      <c r="F68" s="1352"/>
      <c r="G68" s="831"/>
      <c r="H68" s="831"/>
      <c r="I68" s="832" t="s">
        <v>695</v>
      </c>
      <c r="J68" s="744"/>
      <c r="K68" s="833"/>
      <c r="L68" s="833"/>
      <c r="M68" s="833"/>
      <c r="N68" s="834"/>
      <c r="O68" s="835"/>
      <c r="P68" s="836"/>
      <c r="Q68" s="784"/>
      <c r="R68" s="940">
        <v>22000000</v>
      </c>
      <c r="S68" s="786"/>
      <c r="T68" s="786">
        <f t="shared" si="9"/>
        <v>22000000</v>
      </c>
      <c r="U68" s="787"/>
      <c r="V68" s="785"/>
      <c r="W68" s="786"/>
      <c r="X68" s="786"/>
      <c r="Y68" s="788"/>
      <c r="Z68" s="787"/>
      <c r="AA68" s="789"/>
    </row>
    <row r="69" spans="1:30" ht="15" x14ac:dyDescent="0.2">
      <c r="A69" s="1337"/>
      <c r="B69" s="1319"/>
      <c r="C69" s="1338"/>
      <c r="D69" s="1339"/>
      <c r="E69" s="1340"/>
      <c r="F69" s="1353"/>
      <c r="G69" s="831"/>
      <c r="H69" s="831"/>
      <c r="I69" s="832" t="s">
        <v>698</v>
      </c>
      <c r="J69" s="744"/>
      <c r="K69" s="833"/>
      <c r="L69" s="833"/>
      <c r="M69" s="833"/>
      <c r="N69" s="834"/>
      <c r="O69" s="835"/>
      <c r="P69" s="836"/>
      <c r="Q69" s="784"/>
      <c r="R69" s="940">
        <v>2000000</v>
      </c>
      <c r="S69" s="786"/>
      <c r="T69" s="786">
        <f t="shared" si="9"/>
        <v>2000000</v>
      </c>
      <c r="U69" s="787"/>
      <c r="V69" s="785"/>
      <c r="W69" s="786"/>
      <c r="X69" s="786"/>
      <c r="Y69" s="788"/>
      <c r="Z69" s="787"/>
      <c r="AA69" s="789"/>
    </row>
    <row r="70" spans="1:30" ht="36" customHeight="1" x14ac:dyDescent="0.2">
      <c r="A70" s="1337"/>
      <c r="B70" s="1320"/>
      <c r="C70" s="1338"/>
      <c r="D70" s="1339"/>
      <c r="E70" s="1340"/>
      <c r="F70" s="1348" t="s">
        <v>510</v>
      </c>
      <c r="G70" s="1349"/>
      <c r="H70" s="1349"/>
      <c r="I70" s="1349"/>
      <c r="J70" s="1349"/>
      <c r="K70" s="1349"/>
      <c r="L70" s="1349"/>
      <c r="M70" s="1349"/>
      <c r="N70" s="1349"/>
      <c r="O70" s="1349"/>
      <c r="P70" s="1350"/>
      <c r="Q70" s="792"/>
      <c r="R70" s="793">
        <f>SUM(R49:R69)</f>
        <v>508980296.72000003</v>
      </c>
      <c r="S70" s="793">
        <f>SUM(S49:S69)</f>
        <v>60406000</v>
      </c>
      <c r="T70" s="793">
        <f>+R70+S70</f>
        <v>569386296.72000003</v>
      </c>
      <c r="U70" s="720"/>
      <c r="V70" s="793"/>
      <c r="W70" s="793"/>
      <c r="X70" s="793"/>
      <c r="Y70" s="794"/>
      <c r="Z70" s="793"/>
      <c r="AA70" s="793"/>
      <c r="AB70" s="655"/>
    </row>
    <row r="71" spans="1:30" ht="30.75" customHeight="1" x14ac:dyDescent="0.2">
      <c r="A71" s="1340" t="str">
        <f>+A49</f>
        <v>184 Fortalecimiento de la gestión educativa institucional</v>
      </c>
      <c r="B71" s="1340" t="str">
        <f>+B49</f>
        <v>Codido 419
Sostener en el 100% la implementación del Sistema Integrado de Gestión</v>
      </c>
      <c r="C71" s="1340" t="str">
        <f>+C49</f>
        <v>Sostenibilidad del   Sistema Integrado de Gestión</v>
      </c>
      <c r="D71" s="1340" t="str">
        <f>+D49</f>
        <v>Sostener 100% la implementación del Sistema Integrado de Gestión</v>
      </c>
      <c r="E71" s="1340" t="str">
        <f>+E49</f>
        <v>Sostenibilidad del Sistema Integrado de Gestión</v>
      </c>
      <c r="F71" s="1365" t="e">
        <f>+#REF!</f>
        <v>#REF!</v>
      </c>
      <c r="G71" s="943"/>
      <c r="H71" s="943"/>
      <c r="I71" s="944" t="s">
        <v>706</v>
      </c>
      <c r="J71" s="646"/>
      <c r="K71" s="945"/>
      <c r="L71" s="945"/>
      <c r="M71" s="945"/>
      <c r="N71" s="946"/>
      <c r="O71" s="947"/>
      <c r="P71" s="784"/>
      <c r="Q71" s="784"/>
      <c r="R71" s="669">
        <v>38175703.280000001</v>
      </c>
      <c r="S71" s="795"/>
      <c r="T71" s="790">
        <f>+R71+S71</f>
        <v>38175703.280000001</v>
      </c>
      <c r="U71" s="791"/>
      <c r="V71" s="796"/>
      <c r="W71" s="795"/>
      <c r="X71" s="790"/>
      <c r="Y71" s="797"/>
      <c r="Z71" s="795"/>
      <c r="AA71" s="790"/>
      <c r="AB71" s="655"/>
    </row>
    <row r="72" spans="1:30" ht="24" customHeight="1" x14ac:dyDescent="0.2">
      <c r="A72" s="1340"/>
      <c r="B72" s="1340"/>
      <c r="C72" s="1340"/>
      <c r="D72" s="1340"/>
      <c r="E72" s="1340"/>
      <c r="F72" s="1365"/>
      <c r="G72" s="943"/>
      <c r="H72" s="943"/>
      <c r="I72" s="944" t="s">
        <v>707</v>
      </c>
      <c r="J72" s="646"/>
      <c r="K72" s="945"/>
      <c r="L72" s="945"/>
      <c r="M72" s="945"/>
      <c r="N72" s="946"/>
      <c r="O72" s="947"/>
      <c r="P72" s="784"/>
      <c r="Q72" s="784"/>
      <c r="R72" s="669"/>
      <c r="S72" s="795"/>
      <c r="T72" s="790">
        <f t="shared" ref="T72:T78" si="10">+R72+S72</f>
        <v>0</v>
      </c>
      <c r="U72" s="791"/>
      <c r="V72" s="796"/>
      <c r="W72" s="795"/>
      <c r="X72" s="790"/>
      <c r="Y72" s="797"/>
      <c r="Z72" s="795"/>
      <c r="AA72" s="790"/>
      <c r="AB72" s="655"/>
    </row>
    <row r="73" spans="1:30" ht="42" customHeight="1" x14ac:dyDescent="0.2">
      <c r="A73" s="1340"/>
      <c r="B73" s="1340"/>
      <c r="C73" s="1340"/>
      <c r="D73" s="1340"/>
      <c r="E73" s="1340"/>
      <c r="F73" s="1365"/>
      <c r="G73" s="943"/>
      <c r="H73" s="943"/>
      <c r="I73" s="944" t="s">
        <v>713</v>
      </c>
      <c r="J73" s="646"/>
      <c r="K73" s="945"/>
      <c r="L73" s="945"/>
      <c r="M73" s="945"/>
      <c r="N73" s="946"/>
      <c r="O73" s="947"/>
      <c r="P73" s="784"/>
      <c r="Q73" s="784"/>
      <c r="R73" s="669">
        <v>44928000</v>
      </c>
      <c r="S73" s="795"/>
      <c r="T73" s="790">
        <f t="shared" si="10"/>
        <v>44928000</v>
      </c>
      <c r="U73" s="791"/>
      <c r="V73" s="796"/>
      <c r="W73" s="795"/>
      <c r="X73" s="790"/>
      <c r="Y73" s="797"/>
      <c r="Z73" s="795"/>
      <c r="AA73" s="790"/>
      <c r="AB73" s="655"/>
    </row>
    <row r="74" spans="1:30" ht="27.75" customHeight="1" x14ac:dyDescent="0.2">
      <c r="A74" s="1340"/>
      <c r="B74" s="1340"/>
      <c r="C74" s="1340"/>
      <c r="D74" s="1340"/>
      <c r="E74" s="1340"/>
      <c r="F74" s="1365"/>
      <c r="G74" s="943"/>
      <c r="H74" s="943"/>
      <c r="I74" s="944" t="s">
        <v>717</v>
      </c>
      <c r="J74" s="646"/>
      <c r="K74" s="945"/>
      <c r="L74" s="945"/>
      <c r="M74" s="945"/>
      <c r="N74" s="946"/>
      <c r="O74" s="947"/>
      <c r="P74" s="784"/>
      <c r="Q74" s="784"/>
      <c r="R74" s="669">
        <v>21216000</v>
      </c>
      <c r="S74" s="795"/>
      <c r="T74" s="790">
        <f t="shared" si="10"/>
        <v>21216000</v>
      </c>
      <c r="U74" s="791"/>
      <c r="V74" s="796"/>
      <c r="W74" s="795"/>
      <c r="X74" s="790"/>
      <c r="Y74" s="797"/>
      <c r="Z74" s="795"/>
      <c r="AA74" s="790"/>
      <c r="AB74" s="655"/>
    </row>
    <row r="75" spans="1:30" ht="22.5" customHeight="1" x14ac:dyDescent="0.2">
      <c r="A75" s="1340"/>
      <c r="B75" s="1340"/>
      <c r="C75" s="1340"/>
      <c r="D75" s="1340"/>
      <c r="E75" s="1340"/>
      <c r="F75" s="1365"/>
      <c r="G75" s="943"/>
      <c r="H75" s="943"/>
      <c r="I75" s="944" t="s">
        <v>718</v>
      </c>
      <c r="J75" s="646"/>
      <c r="K75" s="945"/>
      <c r="L75" s="945"/>
      <c r="M75" s="945"/>
      <c r="N75" s="946"/>
      <c r="O75" s="947"/>
      <c r="P75" s="784"/>
      <c r="Q75" s="784"/>
      <c r="R75" s="669">
        <v>3700000</v>
      </c>
      <c r="S75" s="795"/>
      <c r="T75" s="790">
        <f t="shared" si="10"/>
        <v>3700000</v>
      </c>
      <c r="U75" s="791"/>
      <c r="V75" s="796"/>
      <c r="W75" s="795"/>
      <c r="X75" s="790"/>
      <c r="Y75" s="797"/>
      <c r="Z75" s="795"/>
      <c r="AA75" s="790"/>
      <c r="AB75" s="655"/>
    </row>
    <row r="76" spans="1:30" ht="38.25" customHeight="1" x14ac:dyDescent="0.2">
      <c r="A76" s="1340"/>
      <c r="B76" s="1340"/>
      <c r="C76" s="1340"/>
      <c r="D76" s="1340"/>
      <c r="E76" s="1340"/>
      <c r="F76" s="1365"/>
      <c r="G76" s="943"/>
      <c r="H76" s="943"/>
      <c r="I76" s="944" t="s">
        <v>720</v>
      </c>
      <c r="J76" s="646"/>
      <c r="K76" s="945"/>
      <c r="L76" s="945"/>
      <c r="M76" s="945"/>
      <c r="N76" s="946"/>
      <c r="O76" s="947"/>
      <c r="P76" s="784"/>
      <c r="Q76" s="784"/>
      <c r="R76" s="669"/>
      <c r="S76" s="795"/>
      <c r="T76" s="790">
        <f t="shared" si="10"/>
        <v>0</v>
      </c>
      <c r="U76" s="791"/>
      <c r="V76" s="796"/>
      <c r="W76" s="795"/>
      <c r="X76" s="790"/>
      <c r="Y76" s="797"/>
      <c r="Z76" s="795"/>
      <c r="AA76" s="790"/>
      <c r="AB76" s="655"/>
    </row>
    <row r="77" spans="1:30" ht="67.5" customHeight="1" x14ac:dyDescent="0.2">
      <c r="A77" s="1340"/>
      <c r="B77" s="1340"/>
      <c r="C77" s="1340"/>
      <c r="D77" s="1340"/>
      <c r="E77" s="1340"/>
      <c r="F77" s="1365"/>
      <c r="G77" s="943"/>
      <c r="H77" s="943"/>
      <c r="I77" s="944" t="s">
        <v>721</v>
      </c>
      <c r="J77" s="646"/>
      <c r="K77" s="945"/>
      <c r="L77" s="945"/>
      <c r="M77" s="945"/>
      <c r="N77" s="946"/>
      <c r="O77" s="947"/>
      <c r="P77" s="784"/>
      <c r="Q77" s="784"/>
      <c r="R77" s="669"/>
      <c r="S77" s="795"/>
      <c r="T77" s="790">
        <f t="shared" si="10"/>
        <v>0</v>
      </c>
      <c r="U77" s="791"/>
      <c r="V77" s="796"/>
      <c r="W77" s="795"/>
      <c r="X77" s="790"/>
      <c r="Y77" s="797"/>
      <c r="Z77" s="795"/>
      <c r="AA77" s="790"/>
      <c r="AB77" s="655"/>
    </row>
    <row r="78" spans="1:30" ht="19.5" customHeight="1" x14ac:dyDescent="0.2">
      <c r="A78" s="1340"/>
      <c r="B78" s="1340"/>
      <c r="C78" s="1340"/>
      <c r="D78" s="1340"/>
      <c r="E78" s="1340"/>
      <c r="F78" s="1365"/>
      <c r="G78" s="943"/>
      <c r="H78" s="943"/>
      <c r="I78" s="858" t="s">
        <v>727</v>
      </c>
      <c r="J78" s="646"/>
      <c r="K78" s="945"/>
      <c r="L78" s="945"/>
      <c r="M78" s="945"/>
      <c r="N78" s="946"/>
      <c r="O78" s="947"/>
      <c r="P78" s="784"/>
      <c r="Q78" s="784"/>
      <c r="R78" s="669">
        <v>2000000</v>
      </c>
      <c r="S78" s="795"/>
      <c r="T78" s="790">
        <f t="shared" si="10"/>
        <v>2000000</v>
      </c>
      <c r="U78" s="791"/>
      <c r="V78" s="796"/>
      <c r="W78" s="795"/>
      <c r="X78" s="790"/>
      <c r="Y78" s="797"/>
      <c r="Z78" s="795"/>
      <c r="AA78" s="790"/>
      <c r="AB78" s="655"/>
    </row>
    <row r="79" spans="1:30" ht="21.75" customHeight="1" x14ac:dyDescent="0.2">
      <c r="A79" s="1340"/>
      <c r="B79" s="1340"/>
      <c r="C79" s="1340"/>
      <c r="D79" s="1340"/>
      <c r="E79" s="1340"/>
      <c r="F79" s="1348" t="s">
        <v>510</v>
      </c>
      <c r="G79" s="1349"/>
      <c r="H79" s="1349"/>
      <c r="I79" s="1349"/>
      <c r="J79" s="1349"/>
      <c r="K79" s="1349"/>
      <c r="L79" s="1349"/>
      <c r="M79" s="1349"/>
      <c r="N79" s="1349"/>
      <c r="O79" s="1349"/>
      <c r="P79" s="1350"/>
      <c r="Q79" s="792"/>
      <c r="R79" s="798">
        <f t="shared" ref="R79:AD79" si="11">SUM(R71:R78)</f>
        <v>110019703.28</v>
      </c>
      <c r="S79" s="798">
        <f t="shared" si="11"/>
        <v>0</v>
      </c>
      <c r="T79" s="798">
        <f t="shared" si="11"/>
        <v>110019703.28</v>
      </c>
      <c r="U79" s="798">
        <f t="shared" si="11"/>
        <v>0</v>
      </c>
      <c r="V79" s="798">
        <f t="shared" si="11"/>
        <v>0</v>
      </c>
      <c r="W79" s="798">
        <f t="shared" si="11"/>
        <v>0</v>
      </c>
      <c r="X79" s="798">
        <f t="shared" si="11"/>
        <v>0</v>
      </c>
      <c r="Y79" s="798">
        <f t="shared" si="11"/>
        <v>0</v>
      </c>
      <c r="Z79" s="798">
        <f t="shared" si="11"/>
        <v>0</v>
      </c>
      <c r="AA79" s="798">
        <f t="shared" si="11"/>
        <v>0</v>
      </c>
      <c r="AB79" s="798">
        <f t="shared" si="11"/>
        <v>0</v>
      </c>
      <c r="AC79" s="798">
        <f t="shared" si="11"/>
        <v>0</v>
      </c>
      <c r="AD79" s="798">
        <f t="shared" si="11"/>
        <v>0</v>
      </c>
    </row>
    <row r="80" spans="1:30" ht="21.75" customHeight="1" x14ac:dyDescent="0.2">
      <c r="A80" s="1340"/>
      <c r="B80" s="1340"/>
      <c r="C80" s="1340"/>
      <c r="D80" s="1340"/>
      <c r="E80" s="1340"/>
      <c r="F80" s="1362" t="s">
        <v>599</v>
      </c>
      <c r="G80" s="1363"/>
      <c r="H80" s="1363"/>
      <c r="I80" s="1363"/>
      <c r="J80" s="1363"/>
      <c r="K80" s="1363"/>
      <c r="L80" s="1363"/>
      <c r="M80" s="1363"/>
      <c r="N80" s="1363"/>
      <c r="O80" s="1363"/>
      <c r="P80" s="1364"/>
      <c r="Q80" s="799"/>
      <c r="R80" s="800">
        <f>+R70+R79</f>
        <v>619000000</v>
      </c>
      <c r="S80" s="800">
        <f>+S70+S79</f>
        <v>60406000</v>
      </c>
      <c r="T80" s="800">
        <f>+R80+S80</f>
        <v>679406000</v>
      </c>
      <c r="U80" s="801"/>
      <c r="V80" s="800">
        <f>+V70+V79</f>
        <v>0</v>
      </c>
      <c r="W80" s="800">
        <f>+W70+W79</f>
        <v>0</v>
      </c>
      <c r="X80" s="800">
        <f>+X70+X79</f>
        <v>0</v>
      </c>
      <c r="Y80" s="802"/>
      <c r="Z80" s="800"/>
      <c r="AA80" s="800"/>
    </row>
    <row r="81" spans="1:30" ht="27.75" customHeight="1" x14ac:dyDescent="0.2">
      <c r="A81" s="1340"/>
      <c r="B81" s="1340"/>
      <c r="C81" s="1298" t="s">
        <v>614</v>
      </c>
      <c r="D81" s="1299"/>
      <c r="E81" s="1299"/>
      <c r="F81" s="1299"/>
      <c r="G81" s="1299"/>
      <c r="H81" s="1299"/>
      <c r="I81" s="1299"/>
      <c r="J81" s="1299"/>
      <c r="K81" s="1299"/>
      <c r="L81" s="1299"/>
      <c r="M81" s="1299"/>
      <c r="N81" s="1299"/>
      <c r="O81" s="1299"/>
      <c r="P81" s="1300"/>
      <c r="Q81" s="712"/>
      <c r="R81" s="763">
        <f>+R80</f>
        <v>619000000</v>
      </c>
      <c r="S81" s="763">
        <f>+S80</f>
        <v>60406000</v>
      </c>
      <c r="T81" s="763">
        <f>+R81+S81</f>
        <v>679406000</v>
      </c>
      <c r="U81" s="759"/>
      <c r="V81" s="740">
        <f>+V80</f>
        <v>0</v>
      </c>
      <c r="W81" s="740">
        <f t="shared" ref="W81:X81" si="12">+W80</f>
        <v>0</v>
      </c>
      <c r="X81" s="740">
        <f t="shared" si="12"/>
        <v>0</v>
      </c>
      <c r="Y81" s="760"/>
      <c r="Z81" s="740"/>
      <c r="AA81" s="740"/>
    </row>
    <row r="82" spans="1:30" ht="29.25" customHeight="1" x14ac:dyDescent="0.2">
      <c r="A82" s="1354" t="s">
        <v>615</v>
      </c>
      <c r="B82" s="1355"/>
      <c r="C82" s="1355"/>
      <c r="D82" s="1355"/>
      <c r="E82" s="1355"/>
      <c r="F82" s="1355"/>
      <c r="G82" s="1355"/>
      <c r="H82" s="1355"/>
      <c r="I82" s="1355"/>
      <c r="J82" s="1355"/>
      <c r="K82" s="1355"/>
      <c r="L82" s="1355"/>
      <c r="M82" s="1355"/>
      <c r="N82" s="1355"/>
      <c r="O82" s="1355"/>
      <c r="P82" s="1356"/>
      <c r="Q82" s="829"/>
      <c r="R82" s="830">
        <f>+R42+R81</f>
        <v>3619959000</v>
      </c>
      <c r="S82" s="830">
        <f>+S42+S81</f>
        <v>1560406000</v>
      </c>
      <c r="T82" s="830">
        <f>+R82+S82</f>
        <v>5180365000</v>
      </c>
      <c r="U82" s="803">
        <f>+U81+U42</f>
        <v>0</v>
      </c>
      <c r="V82" s="803" t="e">
        <f>+V81+V42</f>
        <v>#REF!</v>
      </c>
      <c r="W82" s="803" t="e">
        <f>+W81+W42</f>
        <v>#REF!</v>
      </c>
      <c r="X82" s="803" t="e">
        <f>+X81+X42</f>
        <v>#REF!</v>
      </c>
      <c r="Y82" s="804"/>
      <c r="Z82" s="803"/>
      <c r="AA82" s="803"/>
      <c r="AB82" s="805" t="e">
        <f>+#REF!+AB17+AB20+AB24+#REF!+#REF!+AB27+#REF!+#REF!+#REF!+AB32+AB34+AB36+#REF!+AB39+#REF!+#REF!+#REF!+#REF!+AB70+AB79</f>
        <v>#REF!</v>
      </c>
      <c r="AC82" s="806"/>
      <c r="AD82" s="638"/>
    </row>
    <row r="83" spans="1:30" x14ac:dyDescent="0.2">
      <c r="A83" s="615"/>
      <c r="B83" s="615"/>
      <c r="C83" s="615"/>
      <c r="D83" s="615"/>
      <c r="E83" s="615"/>
      <c r="F83" s="627"/>
      <c r="G83" s="627"/>
      <c r="H83" s="627"/>
      <c r="I83" s="628"/>
      <c r="J83" s="629"/>
      <c r="K83" s="629"/>
      <c r="L83" s="629"/>
      <c r="M83" s="629"/>
      <c r="N83" s="629"/>
      <c r="O83" s="618"/>
      <c r="P83" s="807"/>
      <c r="Q83" s="807"/>
      <c r="R83" s="807"/>
      <c r="S83" s="618"/>
      <c r="T83" s="808"/>
      <c r="U83" s="808"/>
      <c r="X83" s="809"/>
    </row>
    <row r="84" spans="1:30" x14ac:dyDescent="0.2">
      <c r="A84" s="615"/>
      <c r="B84" s="615"/>
      <c r="C84" s="615"/>
      <c r="D84" s="615"/>
      <c r="E84" s="615"/>
      <c r="F84" s="627"/>
      <c r="G84" s="627"/>
      <c r="H84" s="627"/>
      <c r="I84" s="628"/>
      <c r="J84" s="629"/>
      <c r="K84" s="629"/>
      <c r="L84" s="629"/>
      <c r="M84" s="629"/>
      <c r="N84" s="629"/>
      <c r="O84" s="618"/>
      <c r="P84" s="807"/>
      <c r="Q84" s="807"/>
      <c r="R84" s="807"/>
      <c r="S84" s="618"/>
      <c r="T84" s="808"/>
      <c r="U84" s="808"/>
      <c r="V84" s="655"/>
      <c r="X84" s="810"/>
    </row>
    <row r="85" spans="1:30" x14ac:dyDescent="0.2">
      <c r="A85" s="811"/>
      <c r="B85" s="811"/>
      <c r="C85" s="1357" t="s">
        <v>616</v>
      </c>
      <c r="D85" s="1357"/>
      <c r="E85" s="1357"/>
      <c r="F85" s="1357"/>
      <c r="G85" s="812"/>
      <c r="H85" s="812"/>
      <c r="J85" s="814" t="s">
        <v>532</v>
      </c>
      <c r="K85" s="814"/>
      <c r="L85" s="814"/>
      <c r="M85" s="814"/>
      <c r="N85" s="814"/>
      <c r="O85" s="815"/>
      <c r="U85" s="816"/>
      <c r="W85" s="655"/>
      <c r="X85" s="655"/>
    </row>
    <row r="86" spans="1:30" x14ac:dyDescent="0.2">
      <c r="A86" s="811"/>
      <c r="B86" s="811"/>
      <c r="C86" s="1358" t="s">
        <v>617</v>
      </c>
      <c r="D86" s="1358"/>
      <c r="E86" s="1358"/>
      <c r="F86" s="1358"/>
      <c r="G86" s="817"/>
      <c r="H86" s="817"/>
      <c r="J86" s="818" t="s">
        <v>533</v>
      </c>
      <c r="K86" s="818"/>
      <c r="L86" s="818"/>
      <c r="M86" s="818"/>
      <c r="N86" s="818"/>
      <c r="O86" s="818"/>
      <c r="U86" s="816"/>
      <c r="X86" s="655"/>
    </row>
    <row r="87" spans="1:30" x14ac:dyDescent="0.2">
      <c r="A87" s="811"/>
      <c r="B87" s="811"/>
      <c r="C87" s="817"/>
      <c r="D87" s="817"/>
      <c r="E87" s="817"/>
      <c r="F87" s="817"/>
      <c r="G87" s="817"/>
      <c r="H87" s="817"/>
      <c r="J87" s="818"/>
      <c r="K87" s="818"/>
      <c r="L87" s="818"/>
      <c r="M87" s="818"/>
      <c r="N87" s="818"/>
      <c r="O87" s="818"/>
      <c r="P87" s="816"/>
      <c r="Q87" s="816"/>
      <c r="R87" s="816"/>
      <c r="S87" s="816"/>
      <c r="T87" s="816"/>
      <c r="U87" s="816"/>
      <c r="X87" s="655"/>
    </row>
    <row r="88" spans="1:30" x14ac:dyDescent="0.2">
      <c r="A88" s="615"/>
      <c r="B88" s="615"/>
      <c r="C88" s="615"/>
      <c r="D88" s="615"/>
      <c r="E88" s="615"/>
      <c r="F88" s="627"/>
      <c r="G88" s="627"/>
      <c r="H88" s="627"/>
      <c r="I88" s="628"/>
      <c r="J88" s="629"/>
      <c r="K88" s="629"/>
      <c r="L88" s="629"/>
      <c r="M88" s="629"/>
      <c r="N88" s="629"/>
      <c r="O88" s="618"/>
      <c r="P88" s="618"/>
      <c r="Q88" s="618"/>
      <c r="R88" s="618"/>
      <c r="S88" s="618"/>
      <c r="T88" s="808"/>
      <c r="U88" s="808"/>
    </row>
    <row r="89" spans="1:30" s="811" customFormat="1" x14ac:dyDescent="0.25">
      <c r="A89" s="615"/>
      <c r="B89" s="615"/>
      <c r="C89" s="1359" t="s">
        <v>618</v>
      </c>
      <c r="D89" s="1359"/>
      <c r="E89" s="1359"/>
      <c r="F89" s="1359"/>
      <c r="G89" s="627"/>
      <c r="H89" s="627"/>
      <c r="I89" s="628"/>
      <c r="J89" s="1360" t="s">
        <v>619</v>
      </c>
      <c r="K89" s="1360"/>
      <c r="L89" s="1360"/>
      <c r="M89" s="1360"/>
      <c r="N89" s="1360"/>
      <c r="O89" s="618"/>
      <c r="P89" s="618"/>
      <c r="Q89" s="618"/>
      <c r="R89" s="618"/>
      <c r="S89" s="618"/>
      <c r="T89" s="618"/>
      <c r="U89" s="618"/>
      <c r="Y89" s="819"/>
    </row>
    <row r="90" spans="1:30" s="811" customFormat="1" x14ac:dyDescent="0.2">
      <c r="A90" s="615"/>
      <c r="B90" s="615"/>
      <c r="C90" s="622" t="s">
        <v>620</v>
      </c>
      <c r="D90" s="615"/>
      <c r="E90" s="615"/>
      <c r="F90" s="627"/>
      <c r="G90" s="627"/>
      <c r="H90" s="627"/>
      <c r="I90" s="628"/>
      <c r="J90" s="1361" t="s">
        <v>621</v>
      </c>
      <c r="K90" s="1361"/>
      <c r="L90" s="1361"/>
      <c r="M90" s="1361"/>
      <c r="N90" s="1361"/>
      <c r="O90" s="820"/>
      <c r="P90" s="618"/>
      <c r="Q90" s="618"/>
      <c r="R90" s="618"/>
      <c r="S90" s="618"/>
      <c r="T90" s="618"/>
      <c r="U90" s="618"/>
      <c r="Y90" s="819"/>
    </row>
    <row r="91" spans="1:30" x14ac:dyDescent="0.2">
      <c r="A91" s="615"/>
      <c r="B91" s="615"/>
      <c r="C91" s="615"/>
      <c r="D91" s="615"/>
      <c r="E91" s="615"/>
      <c r="F91" s="627"/>
      <c r="G91" s="627"/>
      <c r="H91" s="627"/>
      <c r="I91" s="628"/>
      <c r="J91" s="629"/>
      <c r="K91" s="820"/>
      <c r="L91" s="820"/>
      <c r="M91" s="820"/>
      <c r="N91" s="820"/>
      <c r="O91" s="820"/>
      <c r="P91" s="618"/>
      <c r="Q91" s="618"/>
      <c r="R91" s="618"/>
      <c r="S91" s="618"/>
      <c r="T91" s="618"/>
      <c r="U91" s="618"/>
    </row>
    <row r="92" spans="1:30" x14ac:dyDescent="0.2">
      <c r="A92" s="615"/>
      <c r="B92" s="615"/>
      <c r="C92" s="615"/>
      <c r="D92" s="615"/>
      <c r="E92" s="615"/>
      <c r="F92" s="627"/>
      <c r="G92" s="627"/>
      <c r="H92" s="627"/>
      <c r="I92" s="628"/>
      <c r="J92" s="629"/>
      <c r="K92" s="629"/>
      <c r="L92" s="629"/>
      <c r="M92" s="629"/>
      <c r="N92" s="629"/>
      <c r="O92" s="618"/>
      <c r="P92" s="618"/>
      <c r="Q92" s="618"/>
      <c r="R92" s="618"/>
      <c r="S92" s="618"/>
      <c r="T92" s="618"/>
      <c r="U92" s="618"/>
    </row>
    <row r="93" spans="1:30" x14ac:dyDescent="0.2">
      <c r="A93" s="615"/>
      <c r="B93" s="615"/>
      <c r="C93" s="615"/>
      <c r="D93" s="615"/>
      <c r="E93" s="615"/>
      <c r="F93" s="627"/>
      <c r="G93" s="627"/>
      <c r="H93" s="627"/>
      <c r="I93" s="628"/>
      <c r="J93" s="629"/>
      <c r="K93" s="629"/>
      <c r="L93" s="629"/>
      <c r="M93" s="629"/>
      <c r="N93" s="629"/>
      <c r="O93" s="618"/>
      <c r="P93" s="618"/>
      <c r="Q93" s="618"/>
      <c r="R93" s="618"/>
      <c r="S93" s="618"/>
      <c r="T93" s="618"/>
      <c r="U93" s="618"/>
    </row>
    <row r="94" spans="1:30" x14ac:dyDescent="0.2">
      <c r="A94" s="615"/>
      <c r="B94" s="615"/>
      <c r="C94" s="615"/>
      <c r="D94" s="615"/>
      <c r="E94" s="615"/>
      <c r="F94" s="627"/>
      <c r="G94" s="627"/>
      <c r="H94" s="627"/>
      <c r="I94" s="628"/>
      <c r="J94" s="629"/>
      <c r="K94" s="629"/>
      <c r="L94" s="629"/>
      <c r="M94" s="629"/>
      <c r="N94" s="629"/>
      <c r="O94" s="618"/>
      <c r="P94" s="618"/>
      <c r="Q94" s="618"/>
      <c r="R94" s="618"/>
      <c r="S94" s="618"/>
      <c r="T94" s="618"/>
      <c r="U94" s="618"/>
    </row>
    <row r="95" spans="1:30" x14ac:dyDescent="0.2">
      <c r="A95" s="615"/>
      <c r="B95" s="615"/>
      <c r="C95" s="615"/>
      <c r="D95" s="615"/>
      <c r="E95" s="615"/>
      <c r="F95" s="627"/>
      <c r="G95" s="627"/>
      <c r="H95" s="627"/>
      <c r="I95" s="628"/>
      <c r="J95" s="629"/>
      <c r="K95" s="629"/>
      <c r="L95" s="629"/>
      <c r="M95" s="629"/>
      <c r="N95" s="629"/>
      <c r="O95" s="618"/>
      <c r="P95" s="618"/>
      <c r="Q95" s="618"/>
      <c r="R95" s="618"/>
      <c r="S95" s="618"/>
      <c r="T95" s="618"/>
      <c r="U95" s="618"/>
    </row>
    <row r="96" spans="1:30" x14ac:dyDescent="0.2">
      <c r="A96" s="615"/>
      <c r="B96" s="615"/>
      <c r="C96" s="615"/>
      <c r="D96" s="615"/>
      <c r="E96" s="615"/>
      <c r="F96" s="627"/>
      <c r="G96" s="627"/>
      <c r="H96" s="627"/>
      <c r="I96" s="628"/>
      <c r="J96" s="629"/>
      <c r="K96" s="629"/>
      <c r="L96" s="629"/>
      <c r="M96" s="629"/>
      <c r="N96" s="629"/>
      <c r="O96" s="618"/>
      <c r="P96" s="618"/>
      <c r="Q96" s="618"/>
      <c r="R96" s="618"/>
      <c r="S96" s="618"/>
      <c r="T96" s="618"/>
      <c r="U96" s="618"/>
    </row>
    <row r="97" spans="1:25" x14ac:dyDescent="0.2">
      <c r="A97" s="615"/>
      <c r="B97" s="615"/>
      <c r="C97" s="615"/>
      <c r="D97" s="615"/>
      <c r="E97" s="615"/>
      <c r="F97" s="627"/>
      <c r="G97" s="627"/>
      <c r="H97" s="627"/>
      <c r="I97" s="628"/>
      <c r="J97" s="629"/>
      <c r="K97" s="629"/>
      <c r="L97" s="629"/>
      <c r="M97" s="629"/>
      <c r="N97" s="629"/>
      <c r="O97" s="618"/>
      <c r="P97" s="618"/>
      <c r="Q97" s="618"/>
      <c r="R97" s="618"/>
      <c r="S97" s="618"/>
      <c r="T97" s="618"/>
      <c r="U97" s="618"/>
    </row>
    <row r="98" spans="1:25" x14ac:dyDescent="0.2">
      <c r="A98" s="615"/>
      <c r="B98" s="615"/>
      <c r="C98" s="615"/>
      <c r="D98" s="615"/>
      <c r="E98" s="615"/>
      <c r="F98" s="627"/>
      <c r="G98" s="627"/>
      <c r="H98" s="627"/>
      <c r="I98" s="628"/>
      <c r="J98" s="629"/>
      <c r="K98" s="629"/>
      <c r="L98" s="629"/>
      <c r="M98" s="629"/>
      <c r="N98" s="629"/>
      <c r="O98" s="618"/>
      <c r="P98" s="618"/>
      <c r="Q98" s="618"/>
      <c r="R98" s="618"/>
      <c r="S98" s="618"/>
      <c r="T98" s="618"/>
      <c r="U98" s="618"/>
    </row>
    <row r="99" spans="1:25" x14ac:dyDescent="0.2">
      <c r="A99" s="615"/>
      <c r="B99" s="615"/>
      <c r="C99" s="615"/>
      <c r="D99" s="615"/>
      <c r="E99" s="615"/>
      <c r="F99" s="627"/>
      <c r="G99" s="627"/>
      <c r="H99" s="627"/>
      <c r="I99" s="628"/>
      <c r="J99" s="629"/>
      <c r="K99" s="629"/>
      <c r="L99" s="629"/>
      <c r="M99" s="629"/>
      <c r="N99" s="629"/>
      <c r="O99" s="618"/>
      <c r="P99" s="618"/>
      <c r="Q99" s="618"/>
      <c r="R99" s="618"/>
      <c r="S99" s="618"/>
      <c r="T99" s="618"/>
      <c r="U99" s="618"/>
    </row>
    <row r="100" spans="1:25" x14ac:dyDescent="0.2">
      <c r="A100" s="615"/>
      <c r="B100" s="615"/>
      <c r="C100" s="615"/>
      <c r="D100" s="615"/>
      <c r="E100" s="615"/>
      <c r="F100" s="627"/>
      <c r="G100" s="627"/>
      <c r="H100" s="627"/>
      <c r="I100" s="628"/>
      <c r="J100" s="629"/>
      <c r="K100" s="629"/>
      <c r="L100" s="629"/>
      <c r="M100" s="629"/>
      <c r="N100" s="629"/>
      <c r="O100" s="618"/>
      <c r="P100" s="618"/>
      <c r="Q100" s="618"/>
      <c r="R100" s="618"/>
      <c r="S100" s="618"/>
      <c r="T100" s="618"/>
      <c r="U100" s="618"/>
    </row>
    <row r="101" spans="1:25" x14ac:dyDescent="0.2">
      <c r="A101" s="615"/>
      <c r="B101" s="615"/>
      <c r="C101" s="615"/>
      <c r="D101" s="615"/>
      <c r="E101" s="615"/>
      <c r="F101" s="627"/>
      <c r="G101" s="627"/>
      <c r="H101" s="627"/>
      <c r="I101" s="628"/>
      <c r="J101" s="629"/>
      <c r="K101" s="629"/>
      <c r="L101" s="629"/>
      <c r="M101" s="629"/>
      <c r="N101" s="629"/>
      <c r="O101" s="618"/>
      <c r="P101" s="618"/>
      <c r="Q101" s="618"/>
      <c r="R101" s="618"/>
      <c r="S101" s="618"/>
      <c r="T101" s="618"/>
      <c r="U101" s="618"/>
      <c r="W101" s="655"/>
      <c r="Y101" s="619"/>
    </row>
    <row r="102" spans="1:25" x14ac:dyDescent="0.2">
      <c r="A102" s="615"/>
      <c r="B102" s="615"/>
      <c r="C102" s="615"/>
      <c r="D102" s="615"/>
      <c r="E102" s="615"/>
      <c r="F102" s="627"/>
      <c r="G102" s="627"/>
      <c r="H102" s="627"/>
      <c r="I102" s="628"/>
      <c r="J102" s="629"/>
      <c r="K102" s="629"/>
      <c r="L102" s="629"/>
      <c r="M102" s="629"/>
      <c r="N102" s="629"/>
      <c r="O102" s="618"/>
      <c r="P102" s="618"/>
      <c r="Q102" s="618"/>
      <c r="R102" s="618"/>
      <c r="S102" s="618"/>
      <c r="T102" s="618"/>
      <c r="U102" s="618"/>
      <c r="Y102" s="619"/>
    </row>
    <row r="103" spans="1:25" x14ac:dyDescent="0.2">
      <c r="A103" s="615"/>
      <c r="B103" s="615"/>
      <c r="C103" s="615"/>
      <c r="D103" s="615"/>
      <c r="E103" s="615"/>
      <c r="F103" s="627"/>
      <c r="G103" s="627"/>
      <c r="H103" s="627"/>
      <c r="I103" s="628"/>
      <c r="J103" s="629"/>
      <c r="K103" s="629"/>
      <c r="L103" s="629"/>
      <c r="M103" s="629"/>
      <c r="N103" s="629"/>
      <c r="O103" s="618"/>
      <c r="P103" s="618"/>
      <c r="Q103" s="618"/>
      <c r="R103" s="618"/>
      <c r="S103" s="618"/>
      <c r="T103" s="618"/>
      <c r="U103" s="618"/>
      <c r="W103" s="655"/>
      <c r="Y103" s="619"/>
    </row>
    <row r="104" spans="1:25" x14ac:dyDescent="0.2">
      <c r="A104" s="615"/>
      <c r="B104" s="615"/>
      <c r="C104" s="615"/>
      <c r="D104" s="615"/>
      <c r="E104" s="615"/>
      <c r="F104" s="627"/>
      <c r="G104" s="627"/>
      <c r="H104" s="627"/>
      <c r="I104" s="628"/>
      <c r="J104" s="629"/>
      <c r="K104" s="629"/>
      <c r="L104" s="629"/>
      <c r="M104" s="629"/>
      <c r="N104" s="629"/>
      <c r="O104" s="618"/>
      <c r="P104" s="618"/>
      <c r="Q104" s="618"/>
      <c r="R104" s="618"/>
      <c r="S104" s="618"/>
      <c r="T104" s="618"/>
      <c r="U104" s="618"/>
      <c r="Y104" s="619"/>
    </row>
    <row r="105" spans="1:25" x14ac:dyDescent="0.2">
      <c r="A105" s="615"/>
      <c r="B105" s="615"/>
      <c r="C105" s="615"/>
      <c r="D105" s="615"/>
      <c r="E105" s="615"/>
      <c r="F105" s="627"/>
      <c r="G105" s="627"/>
      <c r="H105" s="627"/>
      <c r="I105" s="628"/>
      <c r="J105" s="629"/>
      <c r="K105" s="629"/>
      <c r="L105" s="629"/>
      <c r="M105" s="629"/>
      <c r="N105" s="629"/>
      <c r="O105" s="618"/>
      <c r="P105" s="618"/>
      <c r="Q105" s="618"/>
      <c r="R105" s="618"/>
      <c r="S105" s="618"/>
      <c r="T105" s="618"/>
      <c r="U105" s="618"/>
      <c r="Y105" s="619"/>
    </row>
    <row r="106" spans="1:25" x14ac:dyDescent="0.2">
      <c r="A106" s="615"/>
      <c r="B106" s="615"/>
      <c r="C106" s="615"/>
      <c r="D106" s="615"/>
      <c r="E106" s="615"/>
      <c r="F106" s="627"/>
      <c r="G106" s="627"/>
      <c r="H106" s="627"/>
      <c r="I106" s="628"/>
      <c r="J106" s="629"/>
      <c r="K106" s="629"/>
      <c r="L106" s="629"/>
      <c r="M106" s="629"/>
      <c r="N106" s="629"/>
      <c r="O106" s="618"/>
      <c r="P106" s="618"/>
      <c r="Q106" s="618"/>
      <c r="R106" s="618"/>
      <c r="S106" s="618"/>
      <c r="T106" s="618"/>
      <c r="U106" s="618"/>
      <c r="Y106" s="619"/>
    </row>
    <row r="107" spans="1:25" x14ac:dyDescent="0.2">
      <c r="A107" s="615"/>
      <c r="B107" s="615"/>
      <c r="C107" s="615"/>
      <c r="D107" s="615"/>
      <c r="E107" s="615"/>
      <c r="F107" s="627"/>
      <c r="G107" s="627"/>
      <c r="H107" s="627"/>
      <c r="I107" s="628"/>
      <c r="J107" s="629"/>
      <c r="K107" s="629"/>
      <c r="L107" s="629"/>
      <c r="M107" s="629"/>
      <c r="N107" s="629"/>
      <c r="O107" s="618"/>
      <c r="P107" s="618"/>
      <c r="Q107" s="618"/>
      <c r="R107" s="618"/>
      <c r="S107" s="618"/>
      <c r="T107" s="618"/>
      <c r="U107" s="618"/>
      <c r="Y107" s="619"/>
    </row>
    <row r="108" spans="1:25" x14ac:dyDescent="0.2">
      <c r="A108" s="615"/>
      <c r="B108" s="615"/>
      <c r="C108" s="615"/>
      <c r="D108" s="615"/>
      <c r="E108" s="615"/>
      <c r="F108" s="627"/>
      <c r="G108" s="627"/>
      <c r="H108" s="627"/>
      <c r="I108" s="628"/>
      <c r="J108" s="629"/>
      <c r="K108" s="629"/>
      <c r="L108" s="629"/>
      <c r="M108" s="629"/>
      <c r="N108" s="629"/>
      <c r="O108" s="618"/>
      <c r="P108" s="618"/>
      <c r="Q108" s="618"/>
      <c r="R108" s="618"/>
      <c r="S108" s="618"/>
      <c r="T108" s="618"/>
      <c r="U108" s="618"/>
      <c r="Y108" s="619"/>
    </row>
    <row r="109" spans="1:25" x14ac:dyDescent="0.2">
      <c r="A109" s="615"/>
      <c r="B109" s="615"/>
      <c r="C109" s="615"/>
      <c r="D109" s="615"/>
      <c r="E109" s="615"/>
      <c r="F109" s="627"/>
      <c r="G109" s="627"/>
      <c r="H109" s="627"/>
      <c r="I109" s="628"/>
      <c r="J109" s="629"/>
      <c r="K109" s="629"/>
      <c r="L109" s="629"/>
      <c r="M109" s="629"/>
      <c r="N109" s="629"/>
      <c r="O109" s="618"/>
      <c r="P109" s="618"/>
      <c r="Q109" s="618"/>
      <c r="R109" s="618"/>
      <c r="S109" s="618"/>
      <c r="T109" s="618"/>
      <c r="U109" s="618"/>
      <c r="Y109" s="619"/>
    </row>
    <row r="110" spans="1:25" x14ac:dyDescent="0.2">
      <c r="A110" s="615"/>
      <c r="B110" s="615"/>
      <c r="C110" s="615"/>
      <c r="D110" s="615"/>
      <c r="E110" s="615"/>
      <c r="F110" s="627"/>
      <c r="G110" s="627"/>
      <c r="H110" s="627"/>
      <c r="I110" s="628"/>
      <c r="J110" s="629"/>
      <c r="K110" s="629"/>
      <c r="L110" s="629"/>
      <c r="M110" s="629"/>
      <c r="N110" s="629"/>
      <c r="O110" s="618"/>
      <c r="P110" s="618"/>
      <c r="Q110" s="618"/>
      <c r="R110" s="618"/>
      <c r="S110" s="618"/>
      <c r="T110" s="618"/>
      <c r="U110" s="618"/>
      <c r="Y110" s="619"/>
    </row>
    <row r="111" spans="1:25" x14ac:dyDescent="0.2">
      <c r="A111" s="615"/>
      <c r="B111" s="615"/>
      <c r="C111" s="615"/>
      <c r="D111" s="615"/>
      <c r="E111" s="615"/>
      <c r="F111" s="627"/>
      <c r="G111" s="627"/>
      <c r="H111" s="627"/>
      <c r="I111" s="628"/>
      <c r="J111" s="629"/>
      <c r="K111" s="629"/>
      <c r="L111" s="629"/>
      <c r="M111" s="629"/>
      <c r="N111" s="629"/>
      <c r="O111" s="618"/>
      <c r="P111" s="618"/>
      <c r="Q111" s="618"/>
      <c r="R111" s="618"/>
      <c r="S111" s="618"/>
      <c r="T111" s="618"/>
      <c r="U111" s="618"/>
      <c r="Y111" s="619"/>
    </row>
    <row r="112" spans="1:25" x14ac:dyDescent="0.2">
      <c r="A112" s="615"/>
      <c r="B112" s="615"/>
      <c r="C112" s="615"/>
      <c r="D112" s="615"/>
      <c r="E112" s="615"/>
      <c r="F112" s="627"/>
      <c r="G112" s="627"/>
      <c r="H112" s="627"/>
      <c r="I112" s="628"/>
      <c r="J112" s="629"/>
      <c r="K112" s="629"/>
      <c r="L112" s="629"/>
      <c r="M112" s="629"/>
      <c r="N112" s="629"/>
      <c r="O112" s="618"/>
      <c r="P112" s="618"/>
      <c r="Q112" s="618"/>
      <c r="R112" s="618"/>
      <c r="S112" s="618"/>
      <c r="T112" s="618"/>
      <c r="U112" s="618"/>
      <c r="Y112" s="619"/>
    </row>
    <row r="113" spans="1:25" x14ac:dyDescent="0.2">
      <c r="A113" s="615"/>
      <c r="B113" s="615"/>
      <c r="C113" s="615"/>
      <c r="D113" s="615"/>
      <c r="E113" s="615"/>
      <c r="F113" s="627"/>
      <c r="G113" s="627"/>
      <c r="H113" s="627"/>
      <c r="I113" s="628"/>
      <c r="J113" s="629"/>
      <c r="K113" s="629"/>
      <c r="L113" s="629"/>
      <c r="M113" s="629"/>
      <c r="N113" s="629"/>
      <c r="O113" s="618"/>
      <c r="P113" s="618"/>
      <c r="Q113" s="618"/>
      <c r="R113" s="618"/>
      <c r="S113" s="618"/>
      <c r="T113" s="618"/>
      <c r="U113" s="618"/>
      <c r="Y113" s="619"/>
    </row>
    <row r="114" spans="1:25" x14ac:dyDescent="0.2">
      <c r="A114" s="615"/>
      <c r="B114" s="615"/>
      <c r="C114" s="615"/>
      <c r="D114" s="615"/>
      <c r="E114" s="615"/>
      <c r="F114" s="627"/>
      <c r="G114" s="627"/>
      <c r="H114" s="627"/>
      <c r="I114" s="628"/>
      <c r="J114" s="629"/>
      <c r="K114" s="629"/>
      <c r="L114" s="629"/>
      <c r="M114" s="629"/>
      <c r="N114" s="629"/>
      <c r="O114" s="618"/>
      <c r="P114" s="618"/>
      <c r="Q114" s="618"/>
      <c r="R114" s="618"/>
      <c r="S114" s="618"/>
      <c r="T114" s="618"/>
      <c r="U114" s="618"/>
      <c r="Y114" s="619"/>
    </row>
    <row r="115" spans="1:25" x14ac:dyDescent="0.2">
      <c r="A115" s="615"/>
      <c r="B115" s="615"/>
      <c r="C115" s="615"/>
      <c r="D115" s="615"/>
      <c r="E115" s="615"/>
      <c r="F115" s="627"/>
      <c r="G115" s="627"/>
      <c r="H115" s="627"/>
      <c r="I115" s="628"/>
      <c r="J115" s="629"/>
      <c r="K115" s="629"/>
      <c r="L115" s="629"/>
      <c r="M115" s="629"/>
      <c r="N115" s="629"/>
      <c r="O115" s="618"/>
      <c r="P115" s="618"/>
      <c r="Q115" s="618"/>
      <c r="R115" s="618"/>
      <c r="S115" s="618"/>
      <c r="T115" s="618"/>
      <c r="U115" s="618"/>
      <c r="Y115" s="619"/>
    </row>
    <row r="116" spans="1:25" x14ac:dyDescent="0.2">
      <c r="A116" s="615"/>
      <c r="B116" s="615"/>
      <c r="C116" s="615"/>
      <c r="D116" s="615"/>
      <c r="E116" s="615"/>
      <c r="F116" s="627"/>
      <c r="G116" s="627"/>
      <c r="H116" s="627"/>
      <c r="I116" s="628"/>
      <c r="J116" s="629"/>
      <c r="K116" s="629"/>
      <c r="L116" s="629"/>
      <c r="M116" s="629"/>
      <c r="N116" s="629"/>
      <c r="O116" s="618"/>
      <c r="P116" s="618"/>
      <c r="Q116" s="618"/>
      <c r="R116" s="618"/>
      <c r="S116" s="618"/>
      <c r="T116" s="618"/>
      <c r="U116" s="618"/>
      <c r="Y116" s="619"/>
    </row>
    <row r="117" spans="1:25" x14ac:dyDescent="0.2">
      <c r="A117" s="615"/>
      <c r="B117" s="615"/>
      <c r="C117" s="615"/>
      <c r="D117" s="615"/>
      <c r="E117" s="615"/>
      <c r="F117" s="627"/>
      <c r="G117" s="627"/>
      <c r="H117" s="627"/>
      <c r="I117" s="628"/>
      <c r="J117" s="629"/>
      <c r="K117" s="629"/>
      <c r="L117" s="629"/>
      <c r="M117" s="629"/>
      <c r="N117" s="629"/>
      <c r="O117" s="618"/>
      <c r="P117" s="618"/>
      <c r="Q117" s="618"/>
      <c r="R117" s="618"/>
      <c r="S117" s="618"/>
      <c r="T117" s="618"/>
      <c r="U117" s="618"/>
      <c r="Y117" s="619"/>
    </row>
    <row r="118" spans="1:25" x14ac:dyDescent="0.2">
      <c r="A118" s="615"/>
      <c r="B118" s="615"/>
      <c r="C118" s="615"/>
      <c r="D118" s="615"/>
      <c r="E118" s="615"/>
      <c r="F118" s="627"/>
      <c r="G118" s="627"/>
      <c r="H118" s="627"/>
      <c r="I118" s="628"/>
      <c r="J118" s="629"/>
      <c r="K118" s="629"/>
      <c r="L118" s="629"/>
      <c r="M118" s="629"/>
      <c r="N118" s="629"/>
      <c r="O118" s="618"/>
      <c r="P118" s="618"/>
      <c r="Q118" s="618"/>
      <c r="R118" s="618"/>
      <c r="S118" s="618"/>
      <c r="T118" s="618"/>
      <c r="U118" s="618"/>
      <c r="Y118" s="619"/>
    </row>
    <row r="119" spans="1:25" x14ac:dyDescent="0.2">
      <c r="A119" s="615"/>
      <c r="B119" s="615"/>
      <c r="C119" s="615"/>
      <c r="D119" s="615"/>
      <c r="E119" s="615"/>
      <c r="F119" s="627"/>
      <c r="G119" s="627"/>
      <c r="H119" s="627"/>
      <c r="I119" s="628"/>
      <c r="J119" s="629"/>
      <c r="K119" s="629"/>
      <c r="L119" s="629"/>
      <c r="M119" s="629"/>
      <c r="N119" s="629"/>
      <c r="O119" s="618"/>
      <c r="P119" s="618"/>
      <c r="Q119" s="618"/>
      <c r="R119" s="618"/>
      <c r="S119" s="618"/>
      <c r="T119" s="618"/>
      <c r="U119" s="618"/>
      <c r="Y119" s="619"/>
    </row>
    <row r="120" spans="1:25" x14ac:dyDescent="0.2">
      <c r="A120" s="615"/>
      <c r="B120" s="615"/>
      <c r="C120" s="615"/>
      <c r="D120" s="615"/>
      <c r="E120" s="615"/>
      <c r="F120" s="627"/>
      <c r="G120" s="627"/>
      <c r="H120" s="627"/>
      <c r="I120" s="628"/>
      <c r="J120" s="629"/>
      <c r="K120" s="629"/>
      <c r="L120" s="629"/>
      <c r="M120" s="629"/>
      <c r="N120" s="629"/>
      <c r="O120" s="618"/>
      <c r="P120" s="618"/>
      <c r="Q120" s="618"/>
      <c r="R120" s="618"/>
      <c r="S120" s="618"/>
      <c r="T120" s="618"/>
      <c r="U120" s="618"/>
      <c r="Y120" s="619"/>
    </row>
    <row r="121" spans="1:25" x14ac:dyDescent="0.2">
      <c r="A121" s="615"/>
      <c r="B121" s="615"/>
      <c r="C121" s="615"/>
      <c r="D121" s="615"/>
      <c r="E121" s="615"/>
      <c r="F121" s="627"/>
      <c r="G121" s="627"/>
      <c r="H121" s="627"/>
      <c r="I121" s="628"/>
      <c r="J121" s="629"/>
      <c r="K121" s="629"/>
      <c r="L121" s="629"/>
      <c r="M121" s="629"/>
      <c r="N121" s="629"/>
      <c r="O121" s="618"/>
      <c r="P121" s="618"/>
      <c r="Q121" s="618"/>
      <c r="R121" s="618"/>
      <c r="S121" s="618"/>
      <c r="T121" s="618"/>
      <c r="U121" s="618"/>
      <c r="Y121" s="619"/>
    </row>
    <row r="122" spans="1:25" x14ac:dyDescent="0.2">
      <c r="A122" s="615"/>
      <c r="B122" s="615"/>
      <c r="C122" s="615"/>
      <c r="D122" s="615"/>
      <c r="E122" s="615"/>
      <c r="F122" s="627"/>
      <c r="G122" s="627"/>
      <c r="H122" s="627"/>
      <c r="I122" s="628"/>
      <c r="J122" s="629"/>
      <c r="K122" s="629"/>
      <c r="L122" s="629"/>
      <c r="M122" s="629"/>
      <c r="N122" s="629"/>
      <c r="O122" s="618"/>
      <c r="P122" s="618"/>
      <c r="Q122" s="618"/>
      <c r="R122" s="618"/>
      <c r="S122" s="618"/>
      <c r="T122" s="618"/>
      <c r="U122" s="618"/>
      <c r="Y122" s="619"/>
    </row>
    <row r="123" spans="1:25" x14ac:dyDescent="0.2">
      <c r="A123" s="615"/>
      <c r="B123" s="615"/>
      <c r="C123" s="615"/>
      <c r="D123" s="615"/>
      <c r="E123" s="615"/>
      <c r="F123" s="627"/>
      <c r="G123" s="627"/>
      <c r="H123" s="627"/>
      <c r="I123" s="628"/>
      <c r="J123" s="629"/>
      <c r="K123" s="629"/>
      <c r="L123" s="629"/>
      <c r="M123" s="629"/>
      <c r="N123" s="629"/>
      <c r="O123" s="618"/>
      <c r="P123" s="618"/>
      <c r="Q123" s="618"/>
      <c r="R123" s="618"/>
      <c r="S123" s="618"/>
      <c r="T123" s="618"/>
      <c r="U123" s="618"/>
      <c r="Y123" s="619"/>
    </row>
    <row r="124" spans="1:25" x14ac:dyDescent="0.2">
      <c r="A124" s="615"/>
      <c r="B124" s="615"/>
      <c r="C124" s="615"/>
      <c r="D124" s="615"/>
      <c r="E124" s="615"/>
      <c r="F124" s="627"/>
      <c r="G124" s="627"/>
      <c r="H124" s="627"/>
      <c r="I124" s="628"/>
      <c r="J124" s="629"/>
      <c r="K124" s="629"/>
      <c r="L124" s="629"/>
      <c r="M124" s="629"/>
      <c r="N124" s="629"/>
      <c r="O124" s="618"/>
      <c r="P124" s="618"/>
      <c r="Q124" s="618"/>
      <c r="R124" s="618"/>
      <c r="S124" s="618"/>
      <c r="T124" s="618"/>
      <c r="U124" s="618"/>
      <c r="Y124" s="619"/>
    </row>
    <row r="125" spans="1:25" x14ac:dyDescent="0.2">
      <c r="A125" s="615"/>
      <c r="B125" s="615"/>
      <c r="C125" s="615"/>
      <c r="D125" s="615"/>
      <c r="E125" s="615"/>
      <c r="F125" s="627"/>
      <c r="G125" s="627"/>
      <c r="H125" s="627"/>
      <c r="I125" s="628"/>
      <c r="J125" s="629"/>
      <c r="K125" s="629"/>
      <c r="L125" s="629"/>
      <c r="M125" s="629"/>
      <c r="N125" s="629"/>
      <c r="O125" s="618"/>
      <c r="P125" s="618"/>
      <c r="Q125" s="618"/>
      <c r="R125" s="618"/>
      <c r="S125" s="618"/>
      <c r="T125" s="618"/>
      <c r="U125" s="618"/>
      <c r="Y125" s="619"/>
    </row>
    <row r="126" spans="1:25" x14ac:dyDescent="0.2">
      <c r="A126" s="615"/>
      <c r="B126" s="615"/>
      <c r="C126" s="615"/>
      <c r="D126" s="615"/>
      <c r="E126" s="615"/>
      <c r="F126" s="627"/>
      <c r="G126" s="627"/>
      <c r="H126" s="627"/>
      <c r="I126" s="628"/>
      <c r="J126" s="629"/>
      <c r="K126" s="629"/>
      <c r="L126" s="629"/>
      <c r="M126" s="629"/>
      <c r="N126" s="629"/>
      <c r="O126" s="618"/>
      <c r="P126" s="618"/>
      <c r="Q126" s="618"/>
      <c r="R126" s="618"/>
      <c r="S126" s="618"/>
      <c r="T126" s="618"/>
      <c r="U126" s="618"/>
      <c r="Y126" s="619"/>
    </row>
    <row r="127" spans="1:25" x14ac:dyDescent="0.2">
      <c r="A127" s="615"/>
      <c r="B127" s="615"/>
      <c r="C127" s="615"/>
      <c r="D127" s="615"/>
      <c r="E127" s="615"/>
      <c r="F127" s="627"/>
      <c r="G127" s="627"/>
      <c r="H127" s="627"/>
      <c r="I127" s="628"/>
      <c r="J127" s="629"/>
      <c r="K127" s="629"/>
      <c r="L127" s="629"/>
      <c r="M127" s="629"/>
      <c r="N127" s="629"/>
      <c r="O127" s="618"/>
      <c r="P127" s="618"/>
      <c r="Q127" s="618"/>
      <c r="R127" s="618"/>
      <c r="S127" s="618"/>
      <c r="T127" s="618"/>
      <c r="U127" s="618"/>
      <c r="Y127" s="619"/>
    </row>
    <row r="128" spans="1:25" x14ac:dyDescent="0.2">
      <c r="A128" s="615"/>
      <c r="B128" s="615"/>
      <c r="C128" s="615"/>
      <c r="D128" s="615"/>
      <c r="E128" s="615"/>
      <c r="F128" s="627"/>
      <c r="G128" s="627"/>
      <c r="H128" s="627"/>
      <c r="I128" s="628"/>
      <c r="J128" s="629"/>
      <c r="K128" s="629"/>
      <c r="L128" s="629"/>
      <c r="M128" s="629"/>
      <c r="N128" s="629"/>
      <c r="O128" s="618"/>
      <c r="P128" s="618"/>
      <c r="Q128" s="618"/>
      <c r="R128" s="618"/>
      <c r="S128" s="618"/>
      <c r="T128" s="618"/>
      <c r="U128" s="618"/>
      <c r="Y128" s="619"/>
    </row>
    <row r="129" spans="1:25" x14ac:dyDescent="0.2">
      <c r="A129" s="615"/>
      <c r="B129" s="615"/>
      <c r="C129" s="615"/>
      <c r="D129" s="615"/>
      <c r="E129" s="615"/>
      <c r="F129" s="627"/>
      <c r="G129" s="627"/>
      <c r="H129" s="627"/>
      <c r="I129" s="628"/>
      <c r="J129" s="629"/>
      <c r="K129" s="629"/>
      <c r="L129" s="629"/>
      <c r="M129" s="629"/>
      <c r="N129" s="629"/>
      <c r="O129" s="618"/>
      <c r="P129" s="618"/>
      <c r="Q129" s="618"/>
      <c r="R129" s="618"/>
      <c r="S129" s="618"/>
      <c r="T129" s="618"/>
      <c r="U129" s="618"/>
      <c r="Y129" s="619"/>
    </row>
    <row r="130" spans="1:25" x14ac:dyDescent="0.2">
      <c r="A130" s="615"/>
      <c r="B130" s="615"/>
      <c r="C130" s="615"/>
      <c r="D130" s="615"/>
      <c r="E130" s="615"/>
      <c r="F130" s="627"/>
      <c r="G130" s="627"/>
      <c r="H130" s="627"/>
      <c r="I130" s="628"/>
      <c r="J130" s="629"/>
      <c r="K130" s="629"/>
      <c r="L130" s="629"/>
      <c r="M130" s="629"/>
      <c r="N130" s="629"/>
      <c r="O130" s="618"/>
      <c r="P130" s="618"/>
      <c r="Q130" s="618"/>
      <c r="R130" s="618"/>
      <c r="S130" s="618"/>
      <c r="T130" s="618"/>
      <c r="U130" s="618"/>
      <c r="Y130" s="619"/>
    </row>
    <row r="131" spans="1:25" x14ac:dyDescent="0.2">
      <c r="A131" s="615"/>
      <c r="B131" s="615"/>
      <c r="C131" s="615"/>
      <c r="D131" s="615"/>
      <c r="E131" s="615"/>
      <c r="F131" s="627"/>
      <c r="G131" s="627"/>
      <c r="H131" s="627"/>
      <c r="I131" s="628"/>
      <c r="J131" s="629"/>
      <c r="K131" s="629"/>
      <c r="L131" s="629"/>
      <c r="M131" s="629"/>
      <c r="N131" s="629"/>
      <c r="O131" s="618"/>
      <c r="P131" s="618"/>
      <c r="Q131" s="618"/>
      <c r="R131" s="618"/>
      <c r="S131" s="618"/>
      <c r="T131" s="618"/>
      <c r="U131" s="618"/>
      <c r="Y131" s="619"/>
    </row>
    <row r="132" spans="1:25" x14ac:dyDescent="0.2">
      <c r="A132" s="615"/>
      <c r="B132" s="615"/>
      <c r="C132" s="615"/>
      <c r="D132" s="615"/>
      <c r="E132" s="615"/>
      <c r="F132" s="627"/>
      <c r="G132" s="627"/>
      <c r="H132" s="627"/>
      <c r="I132" s="628"/>
      <c r="J132" s="629"/>
      <c r="K132" s="629"/>
      <c r="L132" s="629"/>
      <c r="M132" s="629"/>
      <c r="N132" s="629"/>
      <c r="O132" s="618"/>
      <c r="P132" s="618"/>
      <c r="Q132" s="618"/>
      <c r="R132" s="618"/>
      <c r="S132" s="618"/>
      <c r="T132" s="618"/>
      <c r="U132" s="618"/>
      <c r="Y132" s="619"/>
    </row>
    <row r="133" spans="1:25" x14ac:dyDescent="0.2">
      <c r="A133" s="615"/>
      <c r="B133" s="615"/>
      <c r="C133" s="615"/>
      <c r="D133" s="615"/>
      <c r="E133" s="615"/>
      <c r="F133" s="627"/>
      <c r="G133" s="627"/>
      <c r="H133" s="627"/>
      <c r="I133" s="628"/>
      <c r="J133" s="629"/>
      <c r="K133" s="629"/>
      <c r="L133" s="629"/>
      <c r="M133" s="629"/>
      <c r="N133" s="629"/>
      <c r="O133" s="618"/>
      <c r="P133" s="618"/>
      <c r="Q133" s="618"/>
      <c r="R133" s="618"/>
      <c r="S133" s="618"/>
      <c r="T133" s="618"/>
      <c r="U133" s="618"/>
      <c r="Y133" s="619"/>
    </row>
    <row r="134" spans="1:25" x14ac:dyDescent="0.2">
      <c r="A134" s="615"/>
      <c r="B134" s="615"/>
      <c r="C134" s="615"/>
      <c r="D134" s="615"/>
      <c r="E134" s="615"/>
      <c r="F134" s="627"/>
      <c r="G134" s="627"/>
      <c r="H134" s="627"/>
      <c r="I134" s="628"/>
      <c r="J134" s="629"/>
      <c r="K134" s="629"/>
      <c r="L134" s="629"/>
      <c r="M134" s="629"/>
      <c r="N134" s="629"/>
      <c r="O134" s="618"/>
      <c r="P134" s="618"/>
      <c r="Q134" s="618"/>
      <c r="R134" s="618"/>
      <c r="S134" s="618"/>
      <c r="T134" s="618"/>
      <c r="U134" s="618"/>
      <c r="Y134" s="619"/>
    </row>
    <row r="135" spans="1:25" x14ac:dyDescent="0.2">
      <c r="A135" s="615"/>
      <c r="B135" s="615"/>
      <c r="C135" s="615"/>
      <c r="D135" s="615"/>
      <c r="E135" s="615"/>
      <c r="F135" s="627"/>
      <c r="G135" s="627"/>
      <c r="H135" s="627"/>
      <c r="I135" s="628"/>
      <c r="J135" s="629"/>
      <c r="K135" s="629"/>
      <c r="L135" s="629"/>
      <c r="M135" s="629"/>
      <c r="N135" s="629"/>
      <c r="O135" s="618"/>
      <c r="P135" s="618"/>
      <c r="Q135" s="618"/>
      <c r="R135" s="618"/>
      <c r="S135" s="618"/>
      <c r="T135" s="618"/>
      <c r="U135" s="618"/>
      <c r="Y135" s="619"/>
    </row>
    <row r="136" spans="1:25" x14ac:dyDescent="0.2">
      <c r="A136" s="615"/>
      <c r="B136" s="615"/>
      <c r="C136" s="615"/>
      <c r="D136" s="615"/>
      <c r="E136" s="615"/>
      <c r="F136" s="627"/>
      <c r="G136" s="627"/>
      <c r="H136" s="627"/>
      <c r="I136" s="628"/>
      <c r="J136" s="629"/>
      <c r="K136" s="629"/>
      <c r="L136" s="629"/>
      <c r="M136" s="629"/>
      <c r="N136" s="629"/>
      <c r="O136" s="618"/>
      <c r="P136" s="618"/>
      <c r="Q136" s="618"/>
      <c r="R136" s="618"/>
      <c r="S136" s="618"/>
      <c r="T136" s="618"/>
      <c r="U136" s="618"/>
      <c r="Y136" s="619"/>
    </row>
    <row r="137" spans="1:25" x14ac:dyDescent="0.2">
      <c r="A137" s="615"/>
      <c r="B137" s="615"/>
      <c r="C137" s="615"/>
      <c r="D137" s="615"/>
      <c r="E137" s="615"/>
      <c r="F137" s="627"/>
      <c r="G137" s="627"/>
      <c r="H137" s="627"/>
      <c r="I137" s="628"/>
      <c r="J137" s="629"/>
      <c r="K137" s="629"/>
      <c r="L137" s="629"/>
      <c r="M137" s="629"/>
      <c r="N137" s="629"/>
      <c r="O137" s="618"/>
      <c r="P137" s="618"/>
      <c r="Q137" s="618"/>
      <c r="R137" s="618"/>
      <c r="S137" s="618"/>
      <c r="T137" s="618"/>
      <c r="U137" s="618"/>
      <c r="Y137" s="619"/>
    </row>
    <row r="138" spans="1:25" x14ac:dyDescent="0.2">
      <c r="A138" s="615"/>
      <c r="B138" s="615"/>
      <c r="C138" s="615"/>
      <c r="D138" s="615"/>
      <c r="E138" s="615"/>
      <c r="F138" s="627"/>
      <c r="G138" s="627"/>
      <c r="H138" s="627"/>
      <c r="I138" s="628"/>
      <c r="J138" s="629"/>
      <c r="K138" s="629"/>
      <c r="L138" s="629"/>
      <c r="M138" s="629"/>
      <c r="N138" s="629"/>
      <c r="O138" s="618"/>
      <c r="P138" s="618"/>
      <c r="Q138" s="618"/>
      <c r="R138" s="618"/>
      <c r="S138" s="618"/>
      <c r="T138" s="618"/>
      <c r="U138" s="618"/>
      <c r="Y138" s="619"/>
    </row>
    <row r="139" spans="1:25" x14ac:dyDescent="0.2">
      <c r="A139" s="615"/>
      <c r="B139" s="615"/>
      <c r="C139" s="615"/>
      <c r="D139" s="615"/>
      <c r="E139" s="615"/>
      <c r="F139" s="627"/>
      <c r="G139" s="627"/>
      <c r="H139" s="627"/>
      <c r="I139" s="628"/>
      <c r="J139" s="629"/>
      <c r="K139" s="629"/>
      <c r="L139" s="629"/>
      <c r="M139" s="629"/>
      <c r="N139" s="629"/>
      <c r="O139" s="618"/>
      <c r="P139" s="618"/>
      <c r="Q139" s="618"/>
      <c r="R139" s="618"/>
      <c r="S139" s="618"/>
      <c r="T139" s="618"/>
      <c r="U139" s="618"/>
      <c r="Y139" s="619"/>
    </row>
    <row r="140" spans="1:25" x14ac:dyDescent="0.2">
      <c r="A140" s="615"/>
      <c r="B140" s="615"/>
      <c r="C140" s="615"/>
      <c r="D140" s="615"/>
      <c r="E140" s="615"/>
      <c r="F140" s="627"/>
      <c r="G140" s="627"/>
      <c r="H140" s="627"/>
      <c r="I140" s="628"/>
      <c r="J140" s="629"/>
      <c r="K140" s="629"/>
      <c r="L140" s="629"/>
      <c r="M140" s="629"/>
      <c r="N140" s="629"/>
      <c r="O140" s="618"/>
      <c r="P140" s="618"/>
      <c r="Q140" s="618"/>
      <c r="R140" s="618"/>
      <c r="S140" s="618"/>
      <c r="T140" s="618"/>
      <c r="U140" s="618"/>
      <c r="Y140" s="619"/>
    </row>
    <row r="141" spans="1:25" x14ac:dyDescent="0.2">
      <c r="A141" s="615"/>
      <c r="B141" s="615"/>
      <c r="C141" s="615"/>
      <c r="D141" s="615"/>
      <c r="E141" s="615"/>
      <c r="F141" s="627"/>
      <c r="G141" s="627"/>
      <c r="H141" s="627"/>
      <c r="I141" s="628"/>
      <c r="J141" s="629"/>
      <c r="K141" s="629"/>
      <c r="L141" s="629"/>
      <c r="M141" s="629"/>
      <c r="N141" s="629"/>
      <c r="O141" s="618"/>
      <c r="P141" s="618"/>
      <c r="Q141" s="618"/>
      <c r="R141" s="618"/>
      <c r="S141" s="618"/>
      <c r="T141" s="618"/>
      <c r="U141" s="618"/>
      <c r="Y141" s="619"/>
    </row>
    <row r="142" spans="1:25" x14ac:dyDescent="0.2">
      <c r="A142" s="615"/>
      <c r="B142" s="615"/>
      <c r="C142" s="615"/>
      <c r="D142" s="615"/>
      <c r="E142" s="615"/>
      <c r="F142" s="627"/>
      <c r="G142" s="627"/>
      <c r="H142" s="627"/>
      <c r="I142" s="628"/>
      <c r="J142" s="629"/>
      <c r="K142" s="629"/>
      <c r="L142" s="629"/>
      <c r="M142" s="629"/>
      <c r="N142" s="629"/>
      <c r="O142" s="618"/>
      <c r="P142" s="618"/>
      <c r="Q142" s="618"/>
      <c r="R142" s="618"/>
      <c r="S142" s="618"/>
      <c r="T142" s="618"/>
      <c r="U142" s="618"/>
      <c r="Y142" s="619"/>
    </row>
    <row r="143" spans="1:25" x14ac:dyDescent="0.2">
      <c r="A143" s="615"/>
      <c r="B143" s="615"/>
      <c r="C143" s="615"/>
      <c r="D143" s="615"/>
      <c r="E143" s="615"/>
      <c r="F143" s="627"/>
      <c r="G143" s="627"/>
      <c r="H143" s="627"/>
      <c r="I143" s="628"/>
      <c r="J143" s="629"/>
      <c r="K143" s="629"/>
      <c r="L143" s="629"/>
      <c r="M143" s="629"/>
      <c r="N143" s="629"/>
      <c r="O143" s="618"/>
      <c r="P143" s="618"/>
      <c r="Q143" s="618"/>
      <c r="R143" s="618"/>
      <c r="S143" s="618"/>
      <c r="T143" s="618"/>
      <c r="U143" s="618"/>
      <c r="Y143" s="619"/>
    </row>
    <row r="144" spans="1:25" x14ac:dyDescent="0.2">
      <c r="A144" s="615"/>
      <c r="B144" s="615"/>
      <c r="C144" s="615"/>
      <c r="D144" s="615"/>
      <c r="E144" s="615"/>
      <c r="F144" s="627"/>
      <c r="G144" s="627"/>
      <c r="H144" s="627"/>
      <c r="I144" s="628"/>
      <c r="J144" s="629"/>
      <c r="K144" s="629"/>
      <c r="L144" s="629"/>
      <c r="M144" s="629"/>
      <c r="N144" s="629"/>
      <c r="O144" s="618"/>
      <c r="P144" s="618"/>
      <c r="Q144" s="618"/>
      <c r="R144" s="618"/>
      <c r="S144" s="618"/>
      <c r="T144" s="618"/>
      <c r="U144" s="618"/>
      <c r="Y144" s="619"/>
    </row>
    <row r="145" spans="1:25" x14ac:dyDescent="0.2">
      <c r="A145" s="615"/>
      <c r="B145" s="615"/>
      <c r="C145" s="615"/>
      <c r="D145" s="615"/>
      <c r="E145" s="615"/>
      <c r="F145" s="627"/>
      <c r="G145" s="627"/>
      <c r="H145" s="627"/>
      <c r="I145" s="628"/>
      <c r="J145" s="629"/>
      <c r="K145" s="629"/>
      <c r="L145" s="629"/>
      <c r="M145" s="629"/>
      <c r="N145" s="629"/>
      <c r="O145" s="618"/>
      <c r="P145" s="618"/>
      <c r="Q145" s="618"/>
      <c r="R145" s="618"/>
      <c r="S145" s="618"/>
      <c r="T145" s="618"/>
      <c r="U145" s="618"/>
      <c r="Y145" s="619"/>
    </row>
    <row r="146" spans="1:25" x14ac:dyDescent="0.2">
      <c r="A146" s="615"/>
      <c r="B146" s="615"/>
      <c r="C146" s="615"/>
      <c r="D146" s="615"/>
      <c r="E146" s="615"/>
      <c r="F146" s="627"/>
      <c r="G146" s="627"/>
      <c r="H146" s="627"/>
      <c r="I146" s="628"/>
      <c r="J146" s="629"/>
      <c r="K146" s="629"/>
      <c r="L146" s="629"/>
      <c r="M146" s="629"/>
      <c r="N146" s="629"/>
      <c r="O146" s="618"/>
      <c r="P146" s="618"/>
      <c r="Q146" s="618"/>
      <c r="R146" s="618"/>
      <c r="S146" s="618"/>
      <c r="T146" s="618"/>
      <c r="U146" s="618"/>
      <c r="Y146" s="619"/>
    </row>
    <row r="147" spans="1:25" x14ac:dyDescent="0.2">
      <c r="A147" s="615"/>
      <c r="B147" s="615"/>
      <c r="C147" s="615"/>
      <c r="D147" s="615"/>
      <c r="E147" s="615"/>
      <c r="F147" s="627"/>
      <c r="G147" s="627"/>
      <c r="H147" s="627"/>
      <c r="I147" s="628"/>
      <c r="J147" s="629"/>
      <c r="K147" s="629"/>
      <c r="L147" s="629"/>
      <c r="M147" s="629"/>
      <c r="N147" s="629"/>
      <c r="O147" s="618"/>
      <c r="P147" s="618"/>
      <c r="Q147" s="618"/>
      <c r="R147" s="618"/>
      <c r="S147" s="618"/>
      <c r="T147" s="618"/>
      <c r="U147" s="618"/>
      <c r="Y147" s="619"/>
    </row>
    <row r="148" spans="1:25" x14ac:dyDescent="0.2">
      <c r="A148" s="615"/>
      <c r="B148" s="615"/>
      <c r="C148" s="615"/>
      <c r="D148" s="615"/>
      <c r="E148" s="615"/>
      <c r="F148" s="627"/>
      <c r="G148" s="627"/>
      <c r="H148" s="627"/>
      <c r="I148" s="628"/>
      <c r="J148" s="629"/>
      <c r="K148" s="629"/>
      <c r="L148" s="629"/>
      <c r="M148" s="629"/>
      <c r="N148" s="629"/>
      <c r="O148" s="618"/>
      <c r="P148" s="618"/>
      <c r="Q148" s="618"/>
      <c r="R148" s="618"/>
      <c r="S148" s="618"/>
      <c r="T148" s="618"/>
      <c r="U148" s="618"/>
      <c r="Y148" s="619"/>
    </row>
    <row r="149" spans="1:25" x14ac:dyDescent="0.2">
      <c r="A149" s="615"/>
      <c r="B149" s="615"/>
      <c r="C149" s="615"/>
      <c r="D149" s="615"/>
      <c r="E149" s="615"/>
      <c r="F149" s="627"/>
      <c r="G149" s="627"/>
      <c r="H149" s="627"/>
      <c r="I149" s="628"/>
      <c r="J149" s="629"/>
      <c r="K149" s="629"/>
      <c r="L149" s="629"/>
      <c r="M149" s="629"/>
      <c r="N149" s="629"/>
      <c r="O149" s="618"/>
      <c r="P149" s="618"/>
      <c r="Q149" s="618"/>
      <c r="R149" s="618"/>
      <c r="S149" s="618"/>
      <c r="T149" s="618"/>
      <c r="U149" s="618"/>
      <c r="Y149" s="619"/>
    </row>
    <row r="150" spans="1:25" x14ac:dyDescent="0.2">
      <c r="A150" s="615"/>
      <c r="B150" s="615"/>
      <c r="C150" s="615"/>
      <c r="D150" s="615"/>
      <c r="E150" s="615"/>
      <c r="F150" s="627"/>
      <c r="G150" s="627"/>
      <c r="H150" s="627"/>
      <c r="I150" s="628"/>
      <c r="J150" s="629"/>
      <c r="K150" s="629"/>
      <c r="L150" s="629"/>
      <c r="M150" s="629"/>
      <c r="N150" s="629"/>
      <c r="O150" s="618"/>
      <c r="P150" s="618"/>
      <c r="Q150" s="618"/>
      <c r="R150" s="618"/>
      <c r="S150" s="618"/>
      <c r="T150" s="618"/>
      <c r="U150" s="618"/>
      <c r="Y150" s="619"/>
    </row>
    <row r="151" spans="1:25" x14ac:dyDescent="0.2">
      <c r="A151" s="615"/>
      <c r="B151" s="615"/>
      <c r="C151" s="615"/>
      <c r="D151" s="615"/>
      <c r="E151" s="615"/>
      <c r="F151" s="627"/>
      <c r="G151" s="627"/>
      <c r="H151" s="627"/>
      <c r="I151" s="628"/>
      <c r="J151" s="629"/>
      <c r="K151" s="629"/>
      <c r="L151" s="629"/>
      <c r="M151" s="629"/>
      <c r="N151" s="629"/>
      <c r="O151" s="618"/>
      <c r="P151" s="618"/>
      <c r="Q151" s="618"/>
      <c r="R151" s="618"/>
      <c r="S151" s="618"/>
      <c r="T151" s="618"/>
      <c r="U151" s="618"/>
      <c r="Y151" s="619"/>
    </row>
    <row r="152" spans="1:25" x14ac:dyDescent="0.2">
      <c r="A152" s="615"/>
      <c r="B152" s="615"/>
      <c r="C152" s="615"/>
      <c r="D152" s="615"/>
      <c r="E152" s="615"/>
      <c r="F152" s="627"/>
      <c r="G152" s="627"/>
      <c r="H152" s="627"/>
      <c r="I152" s="628"/>
      <c r="J152" s="629"/>
      <c r="K152" s="629"/>
      <c r="L152" s="629"/>
      <c r="M152" s="629"/>
      <c r="N152" s="629"/>
      <c r="O152" s="618"/>
      <c r="P152" s="618"/>
      <c r="Q152" s="618"/>
      <c r="R152" s="618"/>
      <c r="S152" s="618"/>
      <c r="T152" s="618"/>
      <c r="U152" s="618"/>
      <c r="Y152" s="619"/>
    </row>
    <row r="153" spans="1:25" x14ac:dyDescent="0.2">
      <c r="A153" s="615"/>
      <c r="B153" s="615"/>
      <c r="C153" s="615"/>
      <c r="D153" s="615"/>
      <c r="E153" s="615"/>
      <c r="F153" s="627"/>
      <c r="G153" s="627"/>
      <c r="H153" s="627"/>
      <c r="I153" s="628"/>
      <c r="J153" s="629"/>
      <c r="K153" s="629"/>
      <c r="L153" s="629"/>
      <c r="M153" s="629"/>
      <c r="N153" s="629"/>
      <c r="O153" s="618"/>
      <c r="P153" s="618"/>
      <c r="Q153" s="618"/>
      <c r="R153" s="618"/>
      <c r="S153" s="618"/>
      <c r="T153" s="618"/>
      <c r="U153" s="618"/>
      <c r="Y153" s="619"/>
    </row>
    <row r="154" spans="1:25" x14ac:dyDescent="0.2">
      <c r="A154" s="615"/>
      <c r="B154" s="615"/>
      <c r="C154" s="615"/>
      <c r="D154" s="615"/>
      <c r="E154" s="615"/>
      <c r="F154" s="627"/>
      <c r="G154" s="627"/>
      <c r="H154" s="627"/>
      <c r="I154" s="628"/>
      <c r="J154" s="629"/>
      <c r="K154" s="629"/>
      <c r="L154" s="629"/>
      <c r="M154" s="629"/>
      <c r="N154" s="629"/>
      <c r="O154" s="618"/>
      <c r="P154" s="618"/>
      <c r="Q154" s="618"/>
      <c r="R154" s="618"/>
      <c r="S154" s="618"/>
      <c r="T154" s="618"/>
      <c r="U154" s="618"/>
      <c r="Y154" s="619"/>
    </row>
    <row r="155" spans="1:25" x14ac:dyDescent="0.2">
      <c r="A155" s="615"/>
      <c r="B155" s="615"/>
      <c r="C155" s="615"/>
      <c r="D155" s="615"/>
      <c r="E155" s="615"/>
      <c r="F155" s="627"/>
      <c r="G155" s="627"/>
      <c r="H155" s="627"/>
      <c r="I155" s="628"/>
      <c r="J155" s="629"/>
      <c r="K155" s="629"/>
      <c r="L155" s="629"/>
      <c r="M155" s="629"/>
      <c r="N155" s="629"/>
      <c r="O155" s="618"/>
      <c r="P155" s="618"/>
      <c r="Q155" s="618"/>
      <c r="R155" s="618"/>
      <c r="S155" s="618"/>
      <c r="T155" s="618"/>
      <c r="U155" s="618"/>
      <c r="Y155" s="619"/>
    </row>
    <row r="156" spans="1:25" x14ac:dyDescent="0.2">
      <c r="A156" s="615"/>
      <c r="B156" s="615"/>
      <c r="C156" s="615"/>
      <c r="D156" s="615"/>
      <c r="E156" s="615"/>
      <c r="F156" s="627"/>
      <c r="G156" s="627"/>
      <c r="H156" s="627"/>
      <c r="I156" s="628"/>
      <c r="J156" s="629"/>
      <c r="K156" s="629"/>
      <c r="L156" s="629"/>
      <c r="M156" s="629"/>
      <c r="N156" s="629"/>
      <c r="O156" s="618"/>
      <c r="P156" s="618"/>
      <c r="Q156" s="618"/>
      <c r="R156" s="618"/>
      <c r="S156" s="618"/>
      <c r="T156" s="618"/>
      <c r="U156" s="618"/>
      <c r="Y156" s="619"/>
    </row>
    <row r="157" spans="1:25" x14ac:dyDescent="0.2">
      <c r="A157" s="615"/>
      <c r="B157" s="615"/>
      <c r="C157" s="615"/>
      <c r="D157" s="615"/>
      <c r="E157" s="615"/>
      <c r="F157" s="627"/>
      <c r="G157" s="627"/>
      <c r="H157" s="627"/>
      <c r="I157" s="628"/>
      <c r="J157" s="629"/>
      <c r="K157" s="629"/>
      <c r="L157" s="629"/>
      <c r="M157" s="629"/>
      <c r="N157" s="629"/>
      <c r="O157" s="618"/>
      <c r="P157" s="618"/>
      <c r="Q157" s="618"/>
      <c r="R157" s="618"/>
      <c r="S157" s="618"/>
      <c r="T157" s="618"/>
      <c r="U157" s="618"/>
      <c r="Y157" s="619"/>
    </row>
    <row r="158" spans="1:25" x14ac:dyDescent="0.2">
      <c r="A158" s="615"/>
      <c r="B158" s="615"/>
      <c r="C158" s="615"/>
      <c r="D158" s="615"/>
      <c r="E158" s="615"/>
      <c r="F158" s="627"/>
      <c r="G158" s="627"/>
      <c r="H158" s="627"/>
      <c r="I158" s="628"/>
      <c r="J158" s="629"/>
      <c r="K158" s="629"/>
      <c r="L158" s="629"/>
      <c r="M158" s="629"/>
      <c r="N158" s="629"/>
      <c r="O158" s="618"/>
      <c r="P158" s="618"/>
      <c r="Q158" s="618"/>
      <c r="R158" s="618"/>
      <c r="S158" s="618"/>
      <c r="T158" s="618"/>
      <c r="U158" s="618"/>
      <c r="Y158" s="619"/>
    </row>
    <row r="159" spans="1:25" x14ac:dyDescent="0.2">
      <c r="A159" s="615"/>
      <c r="B159" s="615"/>
      <c r="C159" s="615"/>
      <c r="D159" s="615"/>
      <c r="E159" s="615"/>
      <c r="F159" s="627"/>
      <c r="G159" s="627"/>
      <c r="H159" s="627"/>
      <c r="I159" s="628"/>
      <c r="J159" s="629"/>
      <c r="K159" s="629"/>
      <c r="L159" s="629"/>
      <c r="M159" s="629"/>
      <c r="N159" s="629"/>
      <c r="O159" s="618"/>
      <c r="P159" s="618"/>
      <c r="Q159" s="618"/>
      <c r="R159" s="618"/>
      <c r="S159" s="618"/>
      <c r="T159" s="618"/>
      <c r="U159" s="618"/>
      <c r="Y159" s="619"/>
    </row>
    <row r="160" spans="1:25" x14ac:dyDescent="0.2">
      <c r="A160" s="615"/>
      <c r="B160" s="615"/>
      <c r="C160" s="615"/>
      <c r="D160" s="615"/>
      <c r="E160" s="615"/>
      <c r="F160" s="627"/>
      <c r="G160" s="627"/>
      <c r="H160" s="627"/>
      <c r="I160" s="628"/>
      <c r="J160" s="629"/>
      <c r="K160" s="629"/>
      <c r="L160" s="629"/>
      <c r="M160" s="629"/>
      <c r="N160" s="629"/>
      <c r="O160" s="618"/>
      <c r="P160" s="618"/>
      <c r="Q160" s="618"/>
      <c r="R160" s="618"/>
      <c r="S160" s="618"/>
      <c r="T160" s="618"/>
      <c r="U160" s="618"/>
      <c r="Y160" s="619"/>
    </row>
    <row r="161" spans="1:25" x14ac:dyDescent="0.2">
      <c r="A161" s="615"/>
      <c r="B161" s="615"/>
      <c r="C161" s="615"/>
      <c r="D161" s="615"/>
      <c r="E161" s="615"/>
      <c r="F161" s="627"/>
      <c r="G161" s="627"/>
      <c r="H161" s="627"/>
      <c r="I161" s="628"/>
      <c r="J161" s="629"/>
      <c r="K161" s="629"/>
      <c r="L161" s="629"/>
      <c r="M161" s="629"/>
      <c r="N161" s="629"/>
      <c r="O161" s="618"/>
      <c r="P161" s="618"/>
      <c r="Q161" s="618"/>
      <c r="R161" s="618"/>
      <c r="S161" s="618"/>
      <c r="T161" s="618"/>
      <c r="U161" s="618"/>
      <c r="Y161" s="619"/>
    </row>
    <row r="162" spans="1:25" x14ac:dyDescent="0.2">
      <c r="A162" s="615"/>
      <c r="B162" s="615"/>
      <c r="C162" s="615"/>
      <c r="D162" s="615"/>
      <c r="E162" s="615"/>
      <c r="F162" s="627"/>
      <c r="G162" s="627"/>
      <c r="H162" s="627"/>
      <c r="I162" s="628"/>
      <c r="J162" s="629"/>
      <c r="K162" s="629"/>
      <c r="L162" s="629"/>
      <c r="M162" s="629"/>
      <c r="N162" s="629"/>
      <c r="O162" s="618"/>
      <c r="P162" s="618"/>
      <c r="Q162" s="618"/>
      <c r="R162" s="618"/>
      <c r="S162" s="618"/>
      <c r="T162" s="618"/>
      <c r="U162" s="618"/>
      <c r="Y162" s="619"/>
    </row>
    <row r="163" spans="1:25" x14ac:dyDescent="0.2">
      <c r="A163" s="615"/>
      <c r="B163" s="615"/>
      <c r="C163" s="615"/>
      <c r="D163" s="615"/>
      <c r="E163" s="615"/>
      <c r="F163" s="627"/>
      <c r="G163" s="627"/>
      <c r="H163" s="627"/>
      <c r="I163" s="628"/>
      <c r="J163" s="629"/>
      <c r="K163" s="629"/>
      <c r="L163" s="629"/>
      <c r="M163" s="629"/>
      <c r="N163" s="629"/>
      <c r="O163" s="618"/>
      <c r="P163" s="618"/>
      <c r="Q163" s="618"/>
      <c r="R163" s="618"/>
      <c r="S163" s="618"/>
      <c r="T163" s="618"/>
      <c r="U163" s="618"/>
      <c r="Y163" s="619"/>
    </row>
    <row r="164" spans="1:25" x14ac:dyDescent="0.2">
      <c r="A164" s="615"/>
      <c r="B164" s="615"/>
      <c r="C164" s="615"/>
      <c r="D164" s="615"/>
      <c r="E164" s="615"/>
      <c r="F164" s="627"/>
      <c r="G164" s="627"/>
      <c r="H164" s="627"/>
      <c r="I164" s="628"/>
      <c r="J164" s="629"/>
      <c r="K164" s="629"/>
      <c r="L164" s="629"/>
      <c r="M164" s="629"/>
      <c r="N164" s="629"/>
      <c r="O164" s="618"/>
      <c r="P164" s="618"/>
      <c r="Q164" s="618"/>
      <c r="R164" s="618"/>
      <c r="S164" s="618"/>
      <c r="T164" s="618"/>
      <c r="U164" s="618"/>
      <c r="Y164" s="619"/>
    </row>
    <row r="165" spans="1:25" x14ac:dyDescent="0.2">
      <c r="A165" s="615"/>
      <c r="B165" s="615"/>
      <c r="C165" s="615"/>
      <c r="D165" s="615"/>
      <c r="E165" s="615"/>
      <c r="F165" s="627"/>
      <c r="G165" s="627"/>
      <c r="H165" s="627"/>
      <c r="I165" s="628"/>
      <c r="J165" s="629"/>
      <c r="K165" s="629"/>
      <c r="L165" s="629"/>
      <c r="M165" s="629"/>
      <c r="N165" s="629"/>
      <c r="O165" s="618"/>
      <c r="P165" s="618"/>
      <c r="Q165" s="618"/>
      <c r="R165" s="618"/>
      <c r="S165" s="618"/>
      <c r="T165" s="618"/>
      <c r="U165" s="618"/>
      <c r="Y165" s="619"/>
    </row>
    <row r="166" spans="1:25" x14ac:dyDescent="0.2">
      <c r="A166" s="615"/>
      <c r="B166" s="615"/>
      <c r="C166" s="615"/>
      <c r="D166" s="615"/>
      <c r="E166" s="615"/>
      <c r="F166" s="627"/>
      <c r="G166" s="627"/>
      <c r="H166" s="627"/>
      <c r="I166" s="628"/>
      <c r="J166" s="629"/>
      <c r="K166" s="629"/>
      <c r="L166" s="629"/>
      <c r="M166" s="629"/>
      <c r="N166" s="629"/>
      <c r="O166" s="618"/>
      <c r="P166" s="618"/>
      <c r="Q166" s="618"/>
      <c r="R166" s="618"/>
      <c r="S166" s="618"/>
      <c r="T166" s="618"/>
      <c r="U166" s="618"/>
      <c r="Y166" s="619"/>
    </row>
    <row r="167" spans="1:25" x14ac:dyDescent="0.2">
      <c r="A167" s="615"/>
      <c r="B167" s="615"/>
      <c r="C167" s="615"/>
      <c r="D167" s="615"/>
      <c r="E167" s="615"/>
      <c r="F167" s="627"/>
      <c r="G167" s="627"/>
      <c r="H167" s="627"/>
      <c r="I167" s="628"/>
      <c r="J167" s="629"/>
      <c r="K167" s="629"/>
      <c r="L167" s="629"/>
      <c r="M167" s="629"/>
      <c r="N167" s="629"/>
      <c r="O167" s="618"/>
      <c r="P167" s="618"/>
      <c r="Q167" s="618"/>
      <c r="R167" s="618"/>
      <c r="S167" s="618"/>
      <c r="T167" s="618"/>
      <c r="U167" s="618"/>
      <c r="Y167" s="619"/>
    </row>
    <row r="168" spans="1:25" x14ac:dyDescent="0.2">
      <c r="A168" s="615"/>
      <c r="B168" s="615"/>
      <c r="C168" s="615"/>
      <c r="D168" s="615"/>
      <c r="E168" s="615"/>
      <c r="F168" s="627"/>
      <c r="G168" s="627"/>
      <c r="H168" s="627"/>
      <c r="I168" s="628"/>
      <c r="J168" s="629"/>
      <c r="K168" s="629"/>
      <c r="L168" s="629"/>
      <c r="M168" s="629"/>
      <c r="N168" s="629"/>
      <c r="O168" s="618"/>
      <c r="P168" s="618"/>
      <c r="Q168" s="618"/>
      <c r="R168" s="618"/>
      <c r="S168" s="618"/>
      <c r="T168" s="618"/>
      <c r="U168" s="618"/>
      <c r="Y168" s="619"/>
    </row>
    <row r="169" spans="1:25" x14ac:dyDescent="0.2">
      <c r="A169" s="615"/>
      <c r="B169" s="615"/>
      <c r="C169" s="615"/>
      <c r="D169" s="615"/>
      <c r="E169" s="615"/>
      <c r="F169" s="627"/>
      <c r="G169" s="627"/>
      <c r="H169" s="627"/>
      <c r="I169" s="628"/>
      <c r="J169" s="629"/>
      <c r="K169" s="629"/>
      <c r="L169" s="629"/>
      <c r="M169" s="629"/>
      <c r="N169" s="629"/>
      <c r="O169" s="618"/>
      <c r="P169" s="618"/>
      <c r="Q169" s="618"/>
      <c r="R169" s="618"/>
      <c r="S169" s="618"/>
      <c r="T169" s="618"/>
      <c r="U169" s="618"/>
      <c r="Y169" s="619"/>
    </row>
    <row r="170" spans="1:25" x14ac:dyDescent="0.2">
      <c r="A170" s="615"/>
      <c r="B170" s="615"/>
      <c r="C170" s="615"/>
      <c r="D170" s="615"/>
      <c r="E170" s="615"/>
      <c r="F170" s="627"/>
      <c r="G170" s="627"/>
      <c r="H170" s="627"/>
      <c r="I170" s="628"/>
      <c r="J170" s="629"/>
      <c r="K170" s="629"/>
      <c r="L170" s="629"/>
      <c r="M170" s="629"/>
      <c r="N170" s="629"/>
      <c r="O170" s="618"/>
      <c r="P170" s="618"/>
      <c r="Q170" s="618"/>
      <c r="R170" s="618"/>
      <c r="S170" s="618"/>
      <c r="T170" s="618"/>
      <c r="U170" s="618"/>
      <c r="Y170" s="619"/>
    </row>
    <row r="171" spans="1:25" x14ac:dyDescent="0.2">
      <c r="A171" s="615"/>
      <c r="B171" s="615"/>
      <c r="C171" s="615"/>
      <c r="D171" s="615"/>
      <c r="E171" s="615"/>
      <c r="F171" s="627"/>
      <c r="G171" s="627"/>
      <c r="H171" s="627"/>
      <c r="I171" s="628"/>
      <c r="J171" s="629"/>
      <c r="K171" s="629"/>
      <c r="L171" s="629"/>
      <c r="M171" s="629"/>
      <c r="N171" s="629"/>
      <c r="O171" s="618"/>
      <c r="P171" s="618"/>
      <c r="Q171" s="618"/>
      <c r="R171" s="618"/>
      <c r="S171" s="618"/>
      <c r="T171" s="618"/>
      <c r="U171" s="618"/>
      <c r="Y171" s="619"/>
    </row>
    <row r="172" spans="1:25" x14ac:dyDescent="0.2">
      <c r="A172" s="615"/>
      <c r="B172" s="615"/>
      <c r="C172" s="615"/>
      <c r="D172" s="615"/>
      <c r="E172" s="615"/>
      <c r="F172" s="627"/>
      <c r="G172" s="627"/>
      <c r="H172" s="627"/>
      <c r="I172" s="628"/>
      <c r="J172" s="629"/>
      <c r="K172" s="629"/>
      <c r="L172" s="629"/>
      <c r="M172" s="629"/>
      <c r="N172" s="629"/>
      <c r="O172" s="618"/>
      <c r="P172" s="618"/>
      <c r="Q172" s="618"/>
      <c r="R172" s="618"/>
      <c r="S172" s="618"/>
      <c r="T172" s="618"/>
      <c r="U172" s="618"/>
      <c r="Y172" s="619"/>
    </row>
    <row r="173" spans="1:25" x14ac:dyDescent="0.2">
      <c r="A173" s="615"/>
      <c r="B173" s="615"/>
      <c r="C173" s="615"/>
      <c r="D173" s="615"/>
      <c r="E173" s="615"/>
      <c r="F173" s="627"/>
      <c r="G173" s="627"/>
      <c r="H173" s="627"/>
      <c r="I173" s="628"/>
      <c r="J173" s="629"/>
      <c r="K173" s="629"/>
      <c r="L173" s="629"/>
      <c r="M173" s="629"/>
      <c r="N173" s="629"/>
      <c r="O173" s="618"/>
      <c r="P173" s="618"/>
      <c r="Q173" s="618"/>
      <c r="R173" s="618"/>
      <c r="S173" s="618"/>
      <c r="T173" s="618"/>
      <c r="U173" s="618"/>
      <c r="Y173" s="619"/>
    </row>
    <row r="174" spans="1:25" x14ac:dyDescent="0.2">
      <c r="A174" s="615"/>
      <c r="B174" s="615"/>
      <c r="C174" s="615"/>
      <c r="D174" s="615"/>
      <c r="E174" s="615"/>
      <c r="F174" s="627"/>
      <c r="G174" s="627"/>
      <c r="H174" s="627"/>
      <c r="I174" s="628"/>
      <c r="J174" s="629"/>
      <c r="K174" s="629"/>
      <c r="L174" s="629"/>
      <c r="M174" s="629"/>
      <c r="N174" s="629"/>
      <c r="O174" s="618"/>
      <c r="P174" s="618"/>
      <c r="Q174" s="618"/>
      <c r="R174" s="618"/>
      <c r="S174" s="618"/>
      <c r="T174" s="618"/>
      <c r="U174" s="618"/>
      <c r="Y174" s="619"/>
    </row>
    <row r="175" spans="1:25" x14ac:dyDescent="0.2">
      <c r="A175" s="615"/>
      <c r="B175" s="615"/>
      <c r="C175" s="615"/>
      <c r="D175" s="615"/>
      <c r="E175" s="615"/>
      <c r="F175" s="627"/>
      <c r="G175" s="627"/>
      <c r="H175" s="627"/>
      <c r="I175" s="628"/>
      <c r="J175" s="629"/>
      <c r="K175" s="629"/>
      <c r="L175" s="629"/>
      <c r="M175" s="629"/>
      <c r="N175" s="629"/>
      <c r="O175" s="618"/>
      <c r="P175" s="618"/>
      <c r="Q175" s="618"/>
      <c r="R175" s="618"/>
      <c r="S175" s="618"/>
      <c r="T175" s="618"/>
      <c r="U175" s="618"/>
      <c r="Y175" s="619"/>
    </row>
    <row r="176" spans="1:25" x14ac:dyDescent="0.2">
      <c r="A176" s="615"/>
      <c r="B176" s="615"/>
      <c r="C176" s="615"/>
      <c r="D176" s="615"/>
      <c r="E176" s="615"/>
      <c r="F176" s="627"/>
      <c r="G176" s="627"/>
      <c r="H176" s="627"/>
      <c r="I176" s="628"/>
      <c r="J176" s="629"/>
      <c r="K176" s="629"/>
      <c r="L176" s="629"/>
      <c r="M176" s="629"/>
      <c r="N176" s="629"/>
      <c r="O176" s="618"/>
      <c r="P176" s="618"/>
      <c r="Q176" s="618"/>
      <c r="R176" s="618"/>
      <c r="S176" s="618"/>
      <c r="T176" s="618"/>
      <c r="U176" s="618"/>
      <c r="Y176" s="619"/>
    </row>
    <row r="177" spans="1:25" x14ac:dyDescent="0.2">
      <c r="A177" s="615"/>
      <c r="B177" s="615"/>
      <c r="C177" s="615"/>
      <c r="D177" s="615"/>
      <c r="E177" s="615"/>
      <c r="F177" s="627"/>
      <c r="G177" s="627"/>
      <c r="H177" s="627"/>
      <c r="I177" s="628"/>
      <c r="J177" s="629"/>
      <c r="K177" s="629"/>
      <c r="L177" s="629"/>
      <c r="M177" s="629"/>
      <c r="N177" s="629"/>
      <c r="O177" s="618"/>
      <c r="P177" s="618"/>
      <c r="Q177" s="618"/>
      <c r="R177" s="618"/>
      <c r="S177" s="618"/>
      <c r="T177" s="618"/>
      <c r="U177" s="618"/>
      <c r="Y177" s="619"/>
    </row>
    <row r="178" spans="1:25" x14ac:dyDescent="0.2">
      <c r="A178" s="615"/>
      <c r="B178" s="615"/>
      <c r="C178" s="615"/>
      <c r="D178" s="615"/>
      <c r="E178" s="615"/>
      <c r="F178" s="627"/>
      <c r="G178" s="627"/>
      <c r="H178" s="627"/>
      <c r="I178" s="628"/>
      <c r="J178" s="629"/>
      <c r="K178" s="629"/>
      <c r="L178" s="629"/>
      <c r="M178" s="629"/>
      <c r="N178" s="629"/>
      <c r="O178" s="618"/>
      <c r="P178" s="618"/>
      <c r="Q178" s="618"/>
      <c r="R178" s="618"/>
      <c r="S178" s="618"/>
      <c r="T178" s="618"/>
      <c r="U178" s="618"/>
      <c r="Y178" s="619"/>
    </row>
    <row r="179" spans="1:25" x14ac:dyDescent="0.2">
      <c r="A179" s="615"/>
      <c r="B179" s="615"/>
      <c r="C179" s="615"/>
      <c r="D179" s="615"/>
      <c r="E179" s="615"/>
      <c r="F179" s="627"/>
      <c r="G179" s="627"/>
      <c r="H179" s="627"/>
      <c r="I179" s="628"/>
      <c r="J179" s="629"/>
      <c r="K179" s="629"/>
      <c r="L179" s="629"/>
      <c r="M179" s="629"/>
      <c r="N179" s="629"/>
      <c r="O179" s="618"/>
      <c r="P179" s="618"/>
      <c r="Q179" s="618"/>
      <c r="R179" s="618"/>
      <c r="S179" s="618"/>
      <c r="T179" s="618"/>
      <c r="U179" s="618"/>
      <c r="Y179" s="619"/>
    </row>
    <row r="180" spans="1:25" x14ac:dyDescent="0.2">
      <c r="A180" s="615"/>
      <c r="B180" s="615"/>
      <c r="C180" s="615"/>
      <c r="D180" s="615"/>
      <c r="E180" s="615"/>
      <c r="F180" s="627"/>
      <c r="G180" s="627"/>
      <c r="H180" s="627"/>
      <c r="I180" s="628"/>
      <c r="J180" s="629"/>
      <c r="K180" s="629"/>
      <c r="L180" s="629"/>
      <c r="M180" s="629"/>
      <c r="N180" s="629"/>
      <c r="O180" s="618"/>
      <c r="P180" s="618"/>
      <c r="Q180" s="618"/>
      <c r="R180" s="618"/>
      <c r="S180" s="618"/>
      <c r="T180" s="618"/>
      <c r="U180" s="618"/>
      <c r="Y180" s="619"/>
    </row>
    <row r="181" spans="1:25" x14ac:dyDescent="0.2">
      <c r="A181" s="615"/>
      <c r="B181" s="615"/>
      <c r="C181" s="615"/>
      <c r="D181" s="615"/>
      <c r="E181" s="615"/>
      <c r="F181" s="627"/>
      <c r="G181" s="627"/>
      <c r="H181" s="627"/>
      <c r="I181" s="628"/>
      <c r="J181" s="629"/>
      <c r="K181" s="629"/>
      <c r="L181" s="629"/>
      <c r="M181" s="629"/>
      <c r="N181" s="629"/>
      <c r="O181" s="618"/>
      <c r="P181" s="618"/>
      <c r="Q181" s="618"/>
      <c r="R181" s="618"/>
      <c r="S181" s="618"/>
      <c r="T181" s="618"/>
      <c r="U181" s="618"/>
      <c r="Y181" s="619"/>
    </row>
    <row r="182" spans="1:25" x14ac:dyDescent="0.2">
      <c r="A182" s="615"/>
      <c r="B182" s="615"/>
      <c r="C182" s="615"/>
      <c r="D182" s="615"/>
      <c r="E182" s="615"/>
      <c r="F182" s="627"/>
      <c r="G182" s="627"/>
      <c r="H182" s="627"/>
      <c r="I182" s="628"/>
      <c r="J182" s="629"/>
      <c r="K182" s="629"/>
      <c r="L182" s="629"/>
      <c r="M182" s="629"/>
      <c r="N182" s="629"/>
      <c r="O182" s="618"/>
      <c r="P182" s="618"/>
      <c r="Q182" s="618"/>
      <c r="R182" s="618"/>
      <c r="S182" s="618"/>
      <c r="T182" s="618"/>
      <c r="U182" s="618"/>
      <c r="Y182" s="619"/>
    </row>
    <row r="183" spans="1:25" x14ac:dyDescent="0.2">
      <c r="A183" s="615"/>
      <c r="B183" s="615"/>
      <c r="C183" s="615"/>
      <c r="D183" s="615"/>
      <c r="E183" s="615"/>
      <c r="F183" s="627"/>
      <c r="G183" s="627"/>
      <c r="H183" s="627"/>
      <c r="I183" s="628"/>
      <c r="J183" s="629"/>
      <c r="K183" s="629"/>
      <c r="L183" s="629"/>
      <c r="M183" s="629"/>
      <c r="N183" s="629"/>
      <c r="O183" s="618"/>
      <c r="P183" s="618"/>
      <c r="Q183" s="618"/>
      <c r="R183" s="618"/>
      <c r="S183" s="618"/>
      <c r="T183" s="618"/>
      <c r="U183" s="618"/>
      <c r="Y183" s="619"/>
    </row>
    <row r="184" spans="1:25" x14ac:dyDescent="0.2">
      <c r="A184" s="615"/>
      <c r="B184" s="615"/>
      <c r="C184" s="615"/>
      <c r="D184" s="615"/>
      <c r="E184" s="615"/>
      <c r="F184" s="627"/>
      <c r="G184" s="627"/>
      <c r="H184" s="627"/>
      <c r="I184" s="628"/>
      <c r="J184" s="629"/>
      <c r="K184" s="629"/>
      <c r="L184" s="629"/>
      <c r="M184" s="629"/>
      <c r="N184" s="629"/>
      <c r="O184" s="618"/>
      <c r="P184" s="618"/>
      <c r="Q184" s="618"/>
      <c r="R184" s="618"/>
      <c r="S184" s="618"/>
      <c r="T184" s="618"/>
      <c r="U184" s="618"/>
      <c r="Y184" s="619"/>
    </row>
    <row r="185" spans="1:25" x14ac:dyDescent="0.2">
      <c r="A185" s="615"/>
      <c r="B185" s="615"/>
      <c r="C185" s="615"/>
      <c r="D185" s="615"/>
      <c r="E185" s="615"/>
      <c r="F185" s="627"/>
      <c r="G185" s="627"/>
      <c r="H185" s="627"/>
      <c r="I185" s="628"/>
      <c r="J185" s="629"/>
      <c r="K185" s="629"/>
      <c r="L185" s="629"/>
      <c r="M185" s="629"/>
      <c r="N185" s="629"/>
      <c r="O185" s="618"/>
      <c r="P185" s="618"/>
      <c r="Q185" s="618"/>
      <c r="R185" s="618"/>
      <c r="S185" s="618"/>
      <c r="T185" s="618"/>
      <c r="U185" s="618"/>
      <c r="Y185" s="619"/>
    </row>
    <row r="186" spans="1:25" x14ac:dyDescent="0.2">
      <c r="A186" s="615"/>
      <c r="B186" s="615"/>
      <c r="C186" s="615"/>
      <c r="D186" s="615"/>
      <c r="E186" s="615"/>
      <c r="F186" s="627"/>
      <c r="G186" s="627"/>
      <c r="H186" s="627"/>
      <c r="I186" s="628"/>
      <c r="J186" s="629"/>
      <c r="K186" s="629"/>
      <c r="L186" s="629"/>
      <c r="M186" s="629"/>
      <c r="N186" s="629"/>
      <c r="O186" s="618"/>
      <c r="P186" s="618"/>
      <c r="Q186" s="618"/>
      <c r="R186" s="618"/>
      <c r="S186" s="618"/>
      <c r="T186" s="618"/>
      <c r="U186" s="618"/>
      <c r="Y186" s="619"/>
    </row>
    <row r="187" spans="1:25" x14ac:dyDescent="0.2">
      <c r="A187" s="615"/>
      <c r="B187" s="615"/>
      <c r="C187" s="615"/>
      <c r="D187" s="615"/>
      <c r="E187" s="615"/>
      <c r="F187" s="627"/>
      <c r="G187" s="627"/>
      <c r="H187" s="627"/>
      <c r="I187" s="628"/>
      <c r="J187" s="629"/>
      <c r="K187" s="629"/>
      <c r="L187" s="629"/>
      <c r="M187" s="629"/>
      <c r="N187" s="629"/>
      <c r="O187" s="618"/>
      <c r="P187" s="618"/>
      <c r="Q187" s="618"/>
      <c r="R187" s="618"/>
      <c r="S187" s="618"/>
      <c r="T187" s="618"/>
      <c r="U187" s="618"/>
      <c r="Y187" s="619"/>
    </row>
    <row r="188" spans="1:25" x14ac:dyDescent="0.2">
      <c r="A188" s="615"/>
      <c r="B188" s="615"/>
      <c r="C188" s="615"/>
      <c r="D188" s="615"/>
      <c r="E188" s="615"/>
      <c r="F188" s="627"/>
      <c r="G188" s="627"/>
      <c r="H188" s="627"/>
      <c r="I188" s="628"/>
      <c r="J188" s="629"/>
      <c r="K188" s="629"/>
      <c r="L188" s="629"/>
      <c r="M188" s="629"/>
      <c r="N188" s="629"/>
      <c r="O188" s="618"/>
      <c r="P188" s="618"/>
      <c r="Q188" s="618"/>
      <c r="R188" s="618"/>
      <c r="S188" s="618"/>
      <c r="T188" s="618"/>
      <c r="U188" s="618"/>
      <c r="Y188" s="619"/>
    </row>
    <row r="189" spans="1:25" x14ac:dyDescent="0.2">
      <c r="A189" s="615"/>
      <c r="B189" s="615"/>
      <c r="C189" s="615"/>
      <c r="D189" s="615"/>
      <c r="E189" s="615"/>
      <c r="F189" s="627"/>
      <c r="G189" s="627"/>
      <c r="H189" s="627"/>
      <c r="I189" s="628"/>
      <c r="J189" s="629"/>
      <c r="K189" s="629"/>
      <c r="L189" s="629"/>
      <c r="M189" s="629"/>
      <c r="N189" s="629"/>
      <c r="O189" s="618"/>
      <c r="P189" s="618"/>
      <c r="Q189" s="618"/>
      <c r="R189" s="618"/>
      <c r="S189" s="618"/>
      <c r="T189" s="618"/>
      <c r="U189" s="618"/>
      <c r="Y189" s="619"/>
    </row>
    <row r="190" spans="1:25" x14ac:dyDescent="0.2">
      <c r="A190" s="615"/>
      <c r="B190" s="615"/>
      <c r="C190" s="615"/>
      <c r="D190" s="615"/>
      <c r="E190" s="615"/>
      <c r="F190" s="627"/>
      <c r="G190" s="627"/>
      <c r="H190" s="627"/>
      <c r="I190" s="628"/>
      <c r="J190" s="629"/>
      <c r="K190" s="629"/>
      <c r="L190" s="629"/>
      <c r="M190" s="629"/>
      <c r="N190" s="629"/>
      <c r="O190" s="618"/>
      <c r="P190" s="618"/>
      <c r="Q190" s="618"/>
      <c r="R190" s="618"/>
      <c r="S190" s="618"/>
      <c r="T190" s="618"/>
      <c r="U190" s="618"/>
      <c r="Y190" s="619"/>
    </row>
    <row r="191" spans="1:25" x14ac:dyDescent="0.2">
      <c r="A191" s="615"/>
      <c r="B191" s="615"/>
      <c r="C191" s="615"/>
      <c r="D191" s="615"/>
      <c r="E191" s="615"/>
      <c r="F191" s="627"/>
      <c r="G191" s="627"/>
      <c r="H191" s="627"/>
      <c r="I191" s="628"/>
      <c r="J191" s="629"/>
      <c r="K191" s="629"/>
      <c r="L191" s="629"/>
      <c r="M191" s="629"/>
      <c r="N191" s="629"/>
      <c r="O191" s="618"/>
      <c r="P191" s="618"/>
      <c r="Q191" s="618"/>
      <c r="R191" s="618"/>
      <c r="S191" s="618"/>
      <c r="T191" s="618"/>
      <c r="U191" s="618"/>
      <c r="Y191" s="619"/>
    </row>
    <row r="192" spans="1:25" x14ac:dyDescent="0.2">
      <c r="A192" s="615"/>
      <c r="B192" s="615"/>
      <c r="C192" s="615"/>
      <c r="D192" s="615"/>
      <c r="E192" s="615"/>
      <c r="F192" s="627"/>
      <c r="G192" s="627"/>
      <c r="H192" s="627"/>
      <c r="I192" s="628"/>
      <c r="J192" s="629"/>
      <c r="K192" s="629"/>
      <c r="L192" s="629"/>
      <c r="M192" s="629"/>
      <c r="N192" s="629"/>
      <c r="O192" s="618"/>
      <c r="P192" s="618"/>
      <c r="Q192" s="618"/>
      <c r="R192" s="618"/>
      <c r="S192" s="618"/>
      <c r="T192" s="618"/>
      <c r="U192" s="618"/>
      <c r="Y192" s="619"/>
    </row>
    <row r="193" spans="1:25" x14ac:dyDescent="0.2">
      <c r="A193" s="615"/>
      <c r="B193" s="615"/>
      <c r="C193" s="615"/>
      <c r="D193" s="615"/>
      <c r="E193" s="615"/>
      <c r="F193" s="627"/>
      <c r="G193" s="627"/>
      <c r="H193" s="627"/>
      <c r="I193" s="628"/>
      <c r="J193" s="629"/>
      <c r="K193" s="629"/>
      <c r="L193" s="629"/>
      <c r="M193" s="629"/>
      <c r="N193" s="629"/>
      <c r="O193" s="618"/>
      <c r="P193" s="618"/>
      <c r="Q193" s="618"/>
      <c r="R193" s="618"/>
      <c r="S193" s="618"/>
      <c r="T193" s="618"/>
      <c r="U193" s="618"/>
      <c r="Y193" s="619"/>
    </row>
    <row r="194" spans="1:25" x14ac:dyDescent="0.2">
      <c r="A194" s="615"/>
      <c r="B194" s="615"/>
      <c r="C194" s="615"/>
      <c r="D194" s="615"/>
      <c r="E194" s="615"/>
      <c r="F194" s="627"/>
      <c r="G194" s="627"/>
      <c r="H194" s="627"/>
      <c r="I194" s="628"/>
      <c r="J194" s="629"/>
      <c r="K194" s="629"/>
      <c r="L194" s="629"/>
      <c r="M194" s="629"/>
      <c r="N194" s="629"/>
      <c r="O194" s="618"/>
      <c r="P194" s="618"/>
      <c r="Q194" s="618"/>
      <c r="R194" s="618"/>
      <c r="S194" s="618"/>
      <c r="T194" s="618"/>
      <c r="U194" s="618"/>
      <c r="Y194" s="619"/>
    </row>
    <row r="195" spans="1:25" x14ac:dyDescent="0.2">
      <c r="A195" s="615"/>
      <c r="B195" s="615"/>
      <c r="C195" s="615"/>
      <c r="D195" s="615"/>
      <c r="E195" s="615"/>
      <c r="F195" s="627"/>
      <c r="G195" s="627"/>
      <c r="H195" s="627"/>
      <c r="I195" s="628"/>
      <c r="J195" s="629"/>
      <c r="K195" s="629"/>
      <c r="L195" s="629"/>
      <c r="M195" s="629"/>
      <c r="N195" s="629"/>
      <c r="O195" s="618"/>
      <c r="P195" s="618"/>
      <c r="Q195" s="618"/>
      <c r="R195" s="618"/>
      <c r="S195" s="618"/>
      <c r="T195" s="618"/>
      <c r="U195" s="618"/>
      <c r="Y195" s="619"/>
    </row>
    <row r="196" spans="1:25" x14ac:dyDescent="0.2">
      <c r="A196" s="615"/>
      <c r="B196" s="615"/>
      <c r="C196" s="615"/>
      <c r="D196" s="615"/>
      <c r="E196" s="615"/>
      <c r="F196" s="627"/>
      <c r="G196" s="627"/>
      <c r="H196" s="627"/>
      <c r="I196" s="628"/>
      <c r="J196" s="629"/>
      <c r="K196" s="629"/>
      <c r="L196" s="629"/>
      <c r="M196" s="629"/>
      <c r="N196" s="629"/>
      <c r="O196" s="618"/>
      <c r="P196" s="618"/>
      <c r="Q196" s="618"/>
      <c r="R196" s="618"/>
      <c r="S196" s="618"/>
      <c r="T196" s="618"/>
      <c r="U196" s="618"/>
      <c r="Y196" s="619"/>
    </row>
    <row r="197" spans="1:25" x14ac:dyDescent="0.2">
      <c r="A197" s="615"/>
      <c r="B197" s="615"/>
      <c r="C197" s="615"/>
      <c r="D197" s="615"/>
      <c r="E197" s="615"/>
      <c r="F197" s="627"/>
      <c r="G197" s="627"/>
      <c r="H197" s="627"/>
      <c r="I197" s="628"/>
      <c r="J197" s="629"/>
      <c r="K197" s="629"/>
      <c r="L197" s="629"/>
      <c r="M197" s="629"/>
      <c r="N197" s="629"/>
      <c r="O197" s="618"/>
      <c r="P197" s="618"/>
      <c r="Q197" s="618"/>
      <c r="R197" s="618"/>
      <c r="S197" s="618"/>
      <c r="T197" s="618"/>
      <c r="U197" s="618"/>
      <c r="Y197" s="619"/>
    </row>
    <row r="198" spans="1:25" x14ac:dyDescent="0.2">
      <c r="A198" s="615"/>
      <c r="B198" s="615"/>
      <c r="C198" s="615"/>
      <c r="D198" s="615"/>
      <c r="E198" s="615"/>
      <c r="F198" s="627"/>
      <c r="G198" s="627"/>
      <c r="H198" s="627"/>
      <c r="I198" s="628"/>
      <c r="J198" s="629"/>
      <c r="K198" s="629"/>
      <c r="L198" s="629"/>
      <c r="M198" s="629"/>
      <c r="N198" s="629"/>
      <c r="O198" s="618"/>
      <c r="P198" s="618"/>
      <c r="Q198" s="618"/>
      <c r="R198" s="618"/>
      <c r="S198" s="618"/>
      <c r="T198" s="618"/>
      <c r="U198" s="618"/>
      <c r="Y198" s="619"/>
    </row>
    <row r="199" spans="1:25" x14ac:dyDescent="0.2">
      <c r="A199" s="615"/>
      <c r="B199" s="615"/>
      <c r="C199" s="615"/>
      <c r="D199" s="615"/>
      <c r="E199" s="615"/>
      <c r="F199" s="627"/>
      <c r="G199" s="627"/>
      <c r="H199" s="627"/>
      <c r="I199" s="628"/>
      <c r="J199" s="629"/>
      <c r="K199" s="629"/>
      <c r="L199" s="629"/>
      <c r="M199" s="629"/>
      <c r="N199" s="629"/>
      <c r="O199" s="618"/>
      <c r="P199" s="618"/>
      <c r="Q199" s="618"/>
      <c r="R199" s="618"/>
      <c r="S199" s="618"/>
      <c r="T199" s="618"/>
      <c r="U199" s="618"/>
      <c r="Y199" s="619"/>
    </row>
    <row r="200" spans="1:25" x14ac:dyDescent="0.2">
      <c r="A200" s="615"/>
      <c r="B200" s="615"/>
      <c r="C200" s="615"/>
      <c r="D200" s="615"/>
      <c r="E200" s="615"/>
      <c r="F200" s="627"/>
      <c r="G200" s="627"/>
      <c r="H200" s="627"/>
      <c r="I200" s="628"/>
      <c r="J200" s="629"/>
      <c r="K200" s="629"/>
      <c r="L200" s="629"/>
      <c r="M200" s="629"/>
      <c r="N200" s="629"/>
      <c r="O200" s="618"/>
      <c r="P200" s="618"/>
      <c r="Q200" s="618"/>
      <c r="R200" s="618"/>
      <c r="S200" s="618"/>
      <c r="T200" s="618"/>
      <c r="U200" s="618"/>
      <c r="Y200" s="619"/>
    </row>
    <row r="201" spans="1:25" x14ac:dyDescent="0.2">
      <c r="A201" s="615"/>
      <c r="B201" s="615"/>
      <c r="C201" s="615"/>
      <c r="D201" s="615"/>
      <c r="E201" s="615"/>
      <c r="F201" s="627"/>
      <c r="G201" s="627"/>
      <c r="H201" s="627"/>
      <c r="I201" s="628"/>
      <c r="J201" s="629"/>
      <c r="K201" s="629"/>
      <c r="L201" s="629"/>
      <c r="M201" s="629"/>
      <c r="N201" s="629"/>
      <c r="O201" s="618"/>
      <c r="P201" s="618"/>
      <c r="Q201" s="618"/>
      <c r="R201" s="618"/>
      <c r="S201" s="618"/>
      <c r="T201" s="618"/>
      <c r="U201" s="618"/>
      <c r="Y201" s="619"/>
    </row>
    <row r="202" spans="1:25" x14ac:dyDescent="0.2">
      <c r="A202" s="615"/>
      <c r="B202" s="615"/>
      <c r="C202" s="615"/>
      <c r="D202" s="615"/>
      <c r="E202" s="615"/>
      <c r="F202" s="627"/>
      <c r="G202" s="627"/>
      <c r="H202" s="627"/>
      <c r="I202" s="628"/>
      <c r="J202" s="629"/>
      <c r="K202" s="629"/>
      <c r="L202" s="629"/>
      <c r="M202" s="629"/>
      <c r="N202" s="629"/>
      <c r="O202" s="618"/>
      <c r="P202" s="618"/>
      <c r="Q202" s="618"/>
      <c r="R202" s="618"/>
      <c r="S202" s="618"/>
      <c r="T202" s="618"/>
      <c r="U202" s="618"/>
      <c r="Y202" s="619"/>
    </row>
    <row r="203" spans="1:25" x14ac:dyDescent="0.2">
      <c r="A203" s="615"/>
      <c r="B203" s="615"/>
      <c r="C203" s="615"/>
      <c r="D203" s="615"/>
      <c r="E203" s="615"/>
      <c r="F203" s="627"/>
      <c r="G203" s="627"/>
      <c r="H203" s="627"/>
      <c r="I203" s="628"/>
      <c r="J203" s="629"/>
      <c r="K203" s="629"/>
      <c r="L203" s="629"/>
      <c r="M203" s="629"/>
      <c r="N203" s="629"/>
      <c r="O203" s="618"/>
      <c r="P203" s="618"/>
      <c r="Q203" s="618"/>
      <c r="R203" s="618"/>
      <c r="S203" s="618"/>
      <c r="T203" s="618"/>
      <c r="U203" s="618"/>
      <c r="Y203" s="619"/>
    </row>
    <row r="204" spans="1:25" x14ac:dyDescent="0.2">
      <c r="A204" s="615"/>
      <c r="B204" s="615"/>
      <c r="C204" s="615"/>
      <c r="D204" s="615"/>
      <c r="E204" s="615"/>
      <c r="F204" s="627"/>
      <c r="G204" s="627"/>
      <c r="H204" s="627"/>
      <c r="I204" s="628"/>
      <c r="J204" s="629"/>
      <c r="K204" s="629"/>
      <c r="L204" s="629"/>
      <c r="M204" s="629"/>
      <c r="N204" s="629"/>
      <c r="O204" s="618"/>
      <c r="P204" s="618"/>
      <c r="Q204" s="618"/>
      <c r="R204" s="618"/>
      <c r="S204" s="618"/>
      <c r="T204" s="618"/>
      <c r="U204" s="618"/>
      <c r="Y204" s="619"/>
    </row>
    <row r="205" spans="1:25" x14ac:dyDescent="0.2">
      <c r="A205" s="615"/>
      <c r="B205" s="615"/>
      <c r="C205" s="615"/>
      <c r="D205" s="615"/>
      <c r="E205" s="615"/>
      <c r="F205" s="627"/>
      <c r="G205" s="627"/>
      <c r="H205" s="627"/>
      <c r="I205" s="628"/>
      <c r="J205" s="629"/>
      <c r="K205" s="629"/>
      <c r="L205" s="629"/>
      <c r="M205" s="629"/>
      <c r="N205" s="629"/>
      <c r="O205" s="618"/>
      <c r="P205" s="618"/>
      <c r="Q205" s="618"/>
      <c r="R205" s="618"/>
      <c r="S205" s="618"/>
      <c r="T205" s="618"/>
      <c r="U205" s="618"/>
      <c r="Y205" s="619"/>
    </row>
    <row r="206" spans="1:25" x14ac:dyDescent="0.2">
      <c r="A206" s="615"/>
      <c r="B206" s="615"/>
      <c r="C206" s="615"/>
      <c r="D206" s="615"/>
      <c r="E206" s="615"/>
      <c r="F206" s="627"/>
      <c r="G206" s="627"/>
      <c r="H206" s="627"/>
      <c r="I206" s="628"/>
      <c r="J206" s="629"/>
      <c r="K206" s="629"/>
      <c r="L206" s="629"/>
      <c r="M206" s="629"/>
      <c r="N206" s="629"/>
      <c r="O206" s="618"/>
      <c r="P206" s="618"/>
      <c r="Q206" s="618"/>
      <c r="R206" s="618"/>
      <c r="S206" s="618"/>
      <c r="T206" s="618"/>
      <c r="U206" s="618"/>
      <c r="Y206" s="619"/>
    </row>
    <row r="207" spans="1:25" x14ac:dyDescent="0.2">
      <c r="A207" s="615"/>
      <c r="B207" s="615"/>
      <c r="C207" s="615"/>
      <c r="D207" s="615"/>
      <c r="E207" s="615"/>
      <c r="F207" s="627"/>
      <c r="G207" s="627"/>
      <c r="H207" s="627"/>
      <c r="I207" s="628"/>
      <c r="J207" s="629"/>
      <c r="K207" s="629"/>
      <c r="L207" s="629"/>
      <c r="M207" s="629"/>
      <c r="N207" s="629"/>
      <c r="O207" s="618"/>
      <c r="P207" s="618"/>
      <c r="Q207" s="618"/>
      <c r="R207" s="618"/>
      <c r="S207" s="618"/>
      <c r="T207" s="618"/>
      <c r="U207" s="618"/>
      <c r="Y207" s="619"/>
    </row>
    <row r="208" spans="1:25" x14ac:dyDescent="0.2">
      <c r="A208" s="615"/>
      <c r="B208" s="615"/>
      <c r="C208" s="615"/>
      <c r="D208" s="615"/>
      <c r="E208" s="615"/>
      <c r="F208" s="627"/>
      <c r="G208" s="627"/>
      <c r="H208" s="627"/>
      <c r="I208" s="628"/>
      <c r="J208" s="629"/>
      <c r="K208" s="629"/>
      <c r="L208" s="629"/>
      <c r="M208" s="629"/>
      <c r="N208" s="629"/>
      <c r="O208" s="618"/>
      <c r="P208" s="618"/>
      <c r="Q208" s="618"/>
      <c r="R208" s="618"/>
      <c r="S208" s="618"/>
      <c r="T208" s="618"/>
      <c r="U208" s="618"/>
      <c r="Y208" s="619"/>
    </row>
    <row r="209" spans="1:25" x14ac:dyDescent="0.2">
      <c r="A209" s="615"/>
      <c r="B209" s="615"/>
      <c r="C209" s="615"/>
      <c r="D209" s="615"/>
      <c r="E209" s="615"/>
      <c r="F209" s="627"/>
      <c r="G209" s="627"/>
      <c r="H209" s="627"/>
      <c r="I209" s="628"/>
      <c r="J209" s="629"/>
      <c r="K209" s="629"/>
      <c r="L209" s="629"/>
      <c r="M209" s="629"/>
      <c r="N209" s="629"/>
      <c r="O209" s="618"/>
      <c r="P209" s="618"/>
      <c r="Q209" s="618"/>
      <c r="R209" s="618"/>
      <c r="S209" s="618"/>
      <c r="T209" s="618"/>
      <c r="U209" s="618"/>
      <c r="Y209" s="619"/>
    </row>
    <row r="210" spans="1:25" x14ac:dyDescent="0.2">
      <c r="A210" s="615"/>
      <c r="B210" s="615"/>
      <c r="C210" s="615"/>
      <c r="D210" s="615"/>
      <c r="E210" s="615"/>
      <c r="F210" s="627"/>
      <c r="G210" s="627"/>
      <c r="H210" s="627"/>
      <c r="I210" s="628"/>
      <c r="J210" s="629"/>
      <c r="K210" s="629"/>
      <c r="L210" s="629"/>
      <c r="M210" s="629"/>
      <c r="N210" s="629"/>
      <c r="O210" s="618"/>
      <c r="P210" s="618"/>
      <c r="Q210" s="618"/>
      <c r="R210" s="618"/>
      <c r="S210" s="618"/>
      <c r="T210" s="618"/>
      <c r="U210" s="618"/>
      <c r="Y210" s="619"/>
    </row>
    <row r="211" spans="1:25" x14ac:dyDescent="0.2">
      <c r="A211" s="615"/>
      <c r="B211" s="615"/>
      <c r="C211" s="615"/>
      <c r="D211" s="615"/>
      <c r="E211" s="615"/>
      <c r="F211" s="627"/>
      <c r="G211" s="627"/>
      <c r="H211" s="627"/>
      <c r="I211" s="628"/>
      <c r="J211" s="629"/>
      <c r="K211" s="629"/>
      <c r="L211" s="629"/>
      <c r="M211" s="629"/>
      <c r="N211" s="629"/>
      <c r="O211" s="618"/>
      <c r="P211" s="618"/>
      <c r="Q211" s="618"/>
      <c r="R211" s="618"/>
      <c r="S211" s="618"/>
      <c r="T211" s="618"/>
      <c r="U211" s="618"/>
      <c r="Y211" s="619"/>
    </row>
    <row r="212" spans="1:25" x14ac:dyDescent="0.2">
      <c r="A212" s="615"/>
      <c r="B212" s="615"/>
      <c r="C212" s="615"/>
      <c r="D212" s="615"/>
      <c r="E212" s="615"/>
      <c r="F212" s="627"/>
      <c r="G212" s="627"/>
      <c r="H212" s="627"/>
      <c r="I212" s="628"/>
      <c r="J212" s="629"/>
      <c r="K212" s="629"/>
      <c r="L212" s="629"/>
      <c r="M212" s="629"/>
      <c r="N212" s="629"/>
      <c r="O212" s="618"/>
      <c r="P212" s="618"/>
      <c r="Q212" s="618"/>
      <c r="R212" s="618"/>
      <c r="S212" s="618"/>
      <c r="T212" s="618"/>
      <c r="U212" s="618"/>
      <c r="Y212" s="619"/>
    </row>
    <row r="213" spans="1:25" x14ac:dyDescent="0.2">
      <c r="A213" s="615"/>
      <c r="B213" s="615"/>
      <c r="C213" s="615"/>
      <c r="D213" s="615"/>
      <c r="E213" s="615"/>
      <c r="F213" s="627"/>
      <c r="G213" s="627"/>
      <c r="H213" s="627"/>
      <c r="I213" s="628"/>
      <c r="J213" s="629"/>
      <c r="K213" s="629"/>
      <c r="L213" s="629"/>
      <c r="M213" s="629"/>
      <c r="N213" s="629"/>
      <c r="O213" s="618"/>
      <c r="P213" s="618"/>
      <c r="Q213" s="618"/>
      <c r="R213" s="618"/>
      <c r="S213" s="618"/>
      <c r="T213" s="618"/>
      <c r="U213" s="618"/>
      <c r="Y213" s="619"/>
    </row>
    <row r="214" spans="1:25" x14ac:dyDescent="0.2">
      <c r="A214" s="615"/>
      <c r="B214" s="615"/>
      <c r="C214" s="615"/>
      <c r="D214" s="615"/>
      <c r="E214" s="615"/>
      <c r="F214" s="627"/>
      <c r="G214" s="627"/>
      <c r="H214" s="627"/>
      <c r="I214" s="628"/>
      <c r="J214" s="629"/>
      <c r="K214" s="629"/>
      <c r="L214" s="629"/>
      <c r="M214" s="629"/>
      <c r="N214" s="629"/>
      <c r="O214" s="618"/>
      <c r="P214" s="618"/>
      <c r="Q214" s="618"/>
      <c r="R214" s="618"/>
      <c r="S214" s="618"/>
      <c r="T214" s="618"/>
      <c r="U214" s="618"/>
      <c r="Y214" s="619"/>
    </row>
    <row r="215" spans="1:25" x14ac:dyDescent="0.2">
      <c r="A215" s="615"/>
      <c r="B215" s="615"/>
      <c r="C215" s="615"/>
      <c r="D215" s="615"/>
      <c r="E215" s="615"/>
      <c r="F215" s="627"/>
      <c r="G215" s="627"/>
      <c r="H215" s="627"/>
      <c r="I215" s="628"/>
      <c r="J215" s="629"/>
      <c r="K215" s="629"/>
      <c r="L215" s="629"/>
      <c r="M215" s="629"/>
      <c r="N215" s="629"/>
      <c r="O215" s="618"/>
      <c r="P215" s="618"/>
      <c r="Q215" s="618"/>
      <c r="R215" s="618"/>
      <c r="S215" s="618"/>
      <c r="T215" s="618"/>
      <c r="U215" s="618"/>
      <c r="Y215" s="619"/>
    </row>
    <row r="216" spans="1:25" x14ac:dyDescent="0.2">
      <c r="A216" s="615"/>
      <c r="B216" s="615"/>
      <c r="C216" s="615"/>
      <c r="D216" s="615"/>
      <c r="E216" s="615"/>
      <c r="F216" s="627"/>
      <c r="G216" s="627"/>
      <c r="H216" s="627"/>
      <c r="I216" s="628"/>
      <c r="J216" s="629"/>
      <c r="K216" s="629"/>
      <c r="L216" s="629"/>
      <c r="M216" s="629"/>
      <c r="N216" s="629"/>
      <c r="O216" s="618"/>
      <c r="P216" s="618"/>
      <c r="Q216" s="618"/>
      <c r="R216" s="618"/>
      <c r="S216" s="618"/>
      <c r="T216" s="618"/>
      <c r="U216" s="618"/>
      <c r="Y216" s="619"/>
    </row>
    <row r="217" spans="1:25" x14ac:dyDescent="0.2">
      <c r="A217" s="615"/>
      <c r="B217" s="615"/>
      <c r="C217" s="615"/>
      <c r="D217" s="615"/>
      <c r="E217" s="615"/>
      <c r="F217" s="627"/>
      <c r="G217" s="627"/>
      <c r="H217" s="627"/>
      <c r="I217" s="628"/>
      <c r="J217" s="629"/>
      <c r="K217" s="629"/>
      <c r="L217" s="629"/>
      <c r="M217" s="629"/>
      <c r="N217" s="629"/>
      <c r="O217" s="618"/>
      <c r="P217" s="618"/>
      <c r="Q217" s="618"/>
      <c r="R217" s="618"/>
      <c r="S217" s="618"/>
      <c r="T217" s="618"/>
      <c r="U217" s="618"/>
      <c r="Y217" s="619"/>
    </row>
    <row r="218" spans="1:25" x14ac:dyDescent="0.2">
      <c r="A218" s="615"/>
      <c r="B218" s="615"/>
      <c r="C218" s="615"/>
      <c r="D218" s="615"/>
      <c r="E218" s="615"/>
      <c r="F218" s="627"/>
      <c r="G218" s="627"/>
      <c r="H218" s="627"/>
      <c r="I218" s="628"/>
      <c r="J218" s="629"/>
      <c r="K218" s="629"/>
      <c r="L218" s="629"/>
      <c r="M218" s="629"/>
      <c r="N218" s="629"/>
      <c r="O218" s="618"/>
      <c r="P218" s="618"/>
      <c r="Q218" s="618"/>
      <c r="R218" s="618"/>
      <c r="S218" s="618"/>
      <c r="T218" s="618"/>
      <c r="U218" s="618"/>
      <c r="Y218" s="619"/>
    </row>
    <row r="219" spans="1:25" x14ac:dyDescent="0.2">
      <c r="A219" s="615"/>
      <c r="B219" s="615"/>
      <c r="C219" s="615"/>
      <c r="D219" s="615"/>
      <c r="E219" s="615"/>
      <c r="F219" s="627"/>
      <c r="G219" s="627"/>
      <c r="H219" s="627"/>
      <c r="I219" s="628"/>
      <c r="J219" s="629"/>
      <c r="K219" s="629"/>
      <c r="L219" s="629"/>
      <c r="M219" s="629"/>
      <c r="N219" s="629"/>
      <c r="O219" s="618"/>
      <c r="P219" s="618"/>
      <c r="Q219" s="618"/>
      <c r="R219" s="618"/>
      <c r="S219" s="618"/>
      <c r="T219" s="618"/>
      <c r="U219" s="618"/>
      <c r="Y219" s="619"/>
    </row>
    <row r="220" spans="1:25" x14ac:dyDescent="0.2">
      <c r="A220" s="615"/>
      <c r="B220" s="615"/>
      <c r="C220" s="615"/>
      <c r="D220" s="615"/>
      <c r="E220" s="615"/>
      <c r="F220" s="627"/>
      <c r="G220" s="627"/>
      <c r="H220" s="627"/>
      <c r="I220" s="628"/>
      <c r="J220" s="629"/>
      <c r="K220" s="629"/>
      <c r="L220" s="629"/>
      <c r="M220" s="629"/>
      <c r="N220" s="629"/>
      <c r="O220" s="618"/>
      <c r="P220" s="618"/>
      <c r="Q220" s="618"/>
      <c r="R220" s="618"/>
      <c r="S220" s="618"/>
      <c r="T220" s="618"/>
      <c r="U220" s="618"/>
      <c r="Y220" s="619"/>
    </row>
    <row r="221" spans="1:25" x14ac:dyDescent="0.2">
      <c r="A221" s="615"/>
      <c r="B221" s="615"/>
      <c r="C221" s="615"/>
      <c r="D221" s="615"/>
      <c r="E221" s="615"/>
      <c r="F221" s="627"/>
      <c r="G221" s="627"/>
      <c r="H221" s="627"/>
      <c r="I221" s="628"/>
      <c r="J221" s="629"/>
      <c r="K221" s="629"/>
      <c r="L221" s="629"/>
      <c r="M221" s="629"/>
      <c r="N221" s="629"/>
      <c r="O221" s="618"/>
      <c r="P221" s="618"/>
      <c r="Q221" s="618"/>
      <c r="R221" s="618"/>
      <c r="S221" s="618"/>
      <c r="T221" s="618"/>
      <c r="U221" s="618"/>
      <c r="Y221" s="619"/>
    </row>
    <row r="222" spans="1:25" x14ac:dyDescent="0.2">
      <c r="A222" s="615"/>
      <c r="B222" s="615"/>
      <c r="C222" s="615"/>
      <c r="D222" s="615"/>
      <c r="E222" s="615"/>
      <c r="F222" s="627"/>
      <c r="G222" s="627"/>
      <c r="H222" s="627"/>
      <c r="I222" s="628"/>
      <c r="J222" s="629"/>
      <c r="K222" s="629"/>
      <c r="L222" s="629"/>
      <c r="M222" s="629"/>
      <c r="N222" s="629"/>
      <c r="O222" s="618"/>
      <c r="P222" s="618"/>
      <c r="Q222" s="618"/>
      <c r="R222" s="618"/>
      <c r="S222" s="618"/>
      <c r="T222" s="618"/>
      <c r="U222" s="618"/>
      <c r="Y222" s="619"/>
    </row>
    <row r="223" spans="1:25" x14ac:dyDescent="0.2">
      <c r="A223" s="615"/>
      <c r="B223" s="615"/>
      <c r="C223" s="615"/>
      <c r="D223" s="615"/>
      <c r="E223" s="615"/>
      <c r="F223" s="627"/>
      <c r="G223" s="627"/>
      <c r="H223" s="627"/>
      <c r="I223" s="628"/>
      <c r="J223" s="629"/>
      <c r="K223" s="629"/>
      <c r="L223" s="629"/>
      <c r="M223" s="629"/>
      <c r="N223" s="629"/>
      <c r="O223" s="618"/>
      <c r="P223" s="618"/>
      <c r="Q223" s="618"/>
      <c r="R223" s="618"/>
      <c r="S223" s="618"/>
      <c r="T223" s="618"/>
      <c r="U223" s="618"/>
      <c r="Y223" s="619"/>
    </row>
    <row r="224" spans="1:25" x14ac:dyDescent="0.2">
      <c r="A224" s="615"/>
      <c r="B224" s="615"/>
      <c r="C224" s="615"/>
      <c r="D224" s="615"/>
      <c r="E224" s="615"/>
      <c r="F224" s="627"/>
      <c r="G224" s="627"/>
      <c r="H224" s="627"/>
      <c r="I224" s="628"/>
      <c r="J224" s="629"/>
      <c r="K224" s="629"/>
      <c r="L224" s="629"/>
      <c r="M224" s="629"/>
      <c r="N224" s="629"/>
      <c r="O224" s="618"/>
      <c r="P224" s="618"/>
      <c r="Q224" s="618"/>
      <c r="R224" s="618"/>
      <c r="S224" s="618"/>
      <c r="T224" s="618"/>
      <c r="U224" s="618"/>
      <c r="Y224" s="619"/>
    </row>
    <row r="225" spans="1:25" x14ac:dyDescent="0.2">
      <c r="A225" s="615"/>
      <c r="B225" s="615"/>
      <c r="C225" s="615"/>
      <c r="D225" s="615"/>
      <c r="E225" s="615"/>
      <c r="F225" s="627"/>
      <c r="G225" s="627"/>
      <c r="H225" s="627"/>
      <c r="I225" s="628"/>
      <c r="J225" s="629"/>
      <c r="K225" s="629"/>
      <c r="L225" s="629"/>
      <c r="M225" s="629"/>
      <c r="N225" s="629"/>
      <c r="O225" s="618"/>
      <c r="P225" s="618"/>
      <c r="Q225" s="618"/>
      <c r="R225" s="618"/>
      <c r="S225" s="618"/>
      <c r="T225" s="618"/>
      <c r="U225" s="618"/>
      <c r="Y225" s="619"/>
    </row>
    <row r="226" spans="1:25" x14ac:dyDescent="0.2">
      <c r="A226" s="615"/>
      <c r="B226" s="615"/>
      <c r="C226" s="615"/>
      <c r="D226" s="615"/>
      <c r="E226" s="615"/>
      <c r="F226" s="627"/>
      <c r="G226" s="627"/>
      <c r="H226" s="627"/>
      <c r="I226" s="628"/>
      <c r="J226" s="629"/>
      <c r="K226" s="629"/>
      <c r="L226" s="629"/>
      <c r="M226" s="629"/>
      <c r="N226" s="629"/>
      <c r="O226" s="618"/>
      <c r="P226" s="618"/>
      <c r="Q226" s="618"/>
      <c r="R226" s="618"/>
      <c r="S226" s="618"/>
      <c r="T226" s="618"/>
      <c r="U226" s="618"/>
      <c r="Y226" s="619"/>
    </row>
    <row r="227" spans="1:25" x14ac:dyDescent="0.2">
      <c r="A227" s="615"/>
      <c r="B227" s="615"/>
      <c r="C227" s="615"/>
      <c r="D227" s="615"/>
      <c r="E227" s="615"/>
      <c r="F227" s="627"/>
      <c r="G227" s="627"/>
      <c r="H227" s="627"/>
      <c r="I227" s="628"/>
      <c r="J227" s="629"/>
      <c r="K227" s="629"/>
      <c r="L227" s="629"/>
      <c r="M227" s="629"/>
      <c r="N227" s="629"/>
      <c r="O227" s="618"/>
      <c r="P227" s="618"/>
      <c r="Q227" s="618"/>
      <c r="R227" s="618"/>
      <c r="S227" s="618"/>
      <c r="T227" s="618"/>
      <c r="U227" s="618"/>
      <c r="Y227" s="619"/>
    </row>
    <row r="228" spans="1:25" x14ac:dyDescent="0.2">
      <c r="A228" s="615"/>
      <c r="B228" s="615"/>
      <c r="C228" s="615"/>
      <c r="D228" s="615"/>
      <c r="E228" s="615"/>
      <c r="F228" s="627"/>
      <c r="G228" s="627"/>
      <c r="H228" s="627"/>
      <c r="I228" s="628"/>
      <c r="J228" s="629"/>
      <c r="K228" s="629"/>
      <c r="L228" s="629"/>
      <c r="M228" s="629"/>
      <c r="N228" s="629"/>
      <c r="O228" s="618"/>
      <c r="P228" s="618"/>
      <c r="Q228" s="618"/>
      <c r="R228" s="618"/>
      <c r="S228" s="618"/>
      <c r="T228" s="618"/>
      <c r="U228" s="618"/>
      <c r="Y228" s="619"/>
    </row>
    <row r="229" spans="1:25" x14ac:dyDescent="0.2">
      <c r="A229" s="615"/>
      <c r="B229" s="615"/>
      <c r="C229" s="615"/>
      <c r="D229" s="615"/>
      <c r="E229" s="615"/>
      <c r="F229" s="627"/>
      <c r="G229" s="627"/>
      <c r="H229" s="627"/>
      <c r="I229" s="628"/>
      <c r="J229" s="629"/>
      <c r="K229" s="629"/>
      <c r="L229" s="629"/>
      <c r="M229" s="629"/>
      <c r="N229" s="629"/>
      <c r="O229" s="618"/>
      <c r="P229" s="618"/>
      <c r="Q229" s="618"/>
      <c r="R229" s="618"/>
      <c r="S229" s="618"/>
      <c r="T229" s="618"/>
      <c r="U229" s="618"/>
      <c r="Y229" s="619"/>
    </row>
    <row r="230" spans="1:25" x14ac:dyDescent="0.2">
      <c r="A230" s="615"/>
      <c r="B230" s="615"/>
      <c r="C230" s="615"/>
      <c r="D230" s="615"/>
      <c r="E230" s="615"/>
      <c r="F230" s="627"/>
      <c r="G230" s="627"/>
      <c r="H230" s="627"/>
      <c r="I230" s="628"/>
      <c r="J230" s="629"/>
      <c r="K230" s="629"/>
      <c r="L230" s="629"/>
      <c r="M230" s="629"/>
      <c r="N230" s="629"/>
      <c r="O230" s="618"/>
      <c r="P230" s="618"/>
      <c r="Q230" s="618"/>
      <c r="R230" s="618"/>
      <c r="S230" s="618"/>
      <c r="T230" s="618"/>
      <c r="U230" s="618"/>
      <c r="Y230" s="619"/>
    </row>
    <row r="231" spans="1:25" x14ac:dyDescent="0.2">
      <c r="A231" s="615"/>
      <c r="B231" s="615"/>
      <c r="C231" s="615"/>
      <c r="D231" s="615"/>
      <c r="E231" s="615"/>
      <c r="F231" s="627"/>
      <c r="G231" s="627"/>
      <c r="H231" s="627"/>
      <c r="I231" s="628"/>
      <c r="J231" s="629"/>
      <c r="K231" s="629"/>
      <c r="L231" s="629"/>
      <c r="M231" s="629"/>
      <c r="N231" s="629"/>
      <c r="O231" s="618"/>
      <c r="P231" s="618"/>
      <c r="Q231" s="618"/>
      <c r="R231" s="618"/>
      <c r="S231" s="618"/>
      <c r="T231" s="618"/>
      <c r="U231" s="618"/>
      <c r="Y231" s="619"/>
    </row>
    <row r="232" spans="1:25" x14ac:dyDescent="0.2">
      <c r="A232" s="615"/>
      <c r="B232" s="615"/>
      <c r="C232" s="615"/>
      <c r="D232" s="615"/>
      <c r="E232" s="615"/>
      <c r="F232" s="627"/>
      <c r="G232" s="627"/>
      <c r="H232" s="627"/>
      <c r="I232" s="628"/>
      <c r="J232" s="629"/>
      <c r="K232" s="629"/>
      <c r="L232" s="629"/>
      <c r="M232" s="629"/>
      <c r="N232" s="629"/>
      <c r="O232" s="618"/>
      <c r="P232" s="618"/>
      <c r="Q232" s="618"/>
      <c r="R232" s="618"/>
      <c r="S232" s="618"/>
      <c r="T232" s="618"/>
      <c r="U232" s="618"/>
      <c r="Y232" s="619"/>
    </row>
    <row r="233" spans="1:25" x14ac:dyDescent="0.2">
      <c r="A233" s="615"/>
      <c r="B233" s="615"/>
      <c r="C233" s="615"/>
      <c r="D233" s="615"/>
      <c r="E233" s="615"/>
      <c r="F233" s="627"/>
      <c r="G233" s="627"/>
      <c r="H233" s="627"/>
      <c r="I233" s="628"/>
      <c r="J233" s="629"/>
      <c r="K233" s="629"/>
      <c r="L233" s="629"/>
      <c r="M233" s="629"/>
      <c r="N233" s="629"/>
      <c r="O233" s="618"/>
      <c r="P233" s="618"/>
      <c r="Q233" s="618"/>
      <c r="R233" s="618"/>
      <c r="S233" s="618"/>
      <c r="T233" s="618"/>
      <c r="U233" s="618"/>
      <c r="Y233" s="619"/>
    </row>
    <row r="234" spans="1:25" x14ac:dyDescent="0.2">
      <c r="A234" s="615"/>
      <c r="B234" s="615"/>
      <c r="C234" s="615"/>
      <c r="D234" s="615"/>
      <c r="E234" s="615"/>
      <c r="F234" s="627"/>
      <c r="G234" s="627"/>
      <c r="H234" s="627"/>
      <c r="I234" s="628"/>
      <c r="J234" s="629"/>
      <c r="K234" s="629"/>
      <c r="L234" s="629"/>
      <c r="M234" s="629"/>
      <c r="N234" s="629"/>
      <c r="O234" s="618"/>
      <c r="P234" s="618"/>
      <c r="Q234" s="618"/>
      <c r="R234" s="618"/>
      <c r="S234" s="618"/>
      <c r="T234" s="618"/>
      <c r="U234" s="618"/>
      <c r="Y234" s="619"/>
    </row>
    <row r="235" spans="1:25" x14ac:dyDescent="0.2">
      <c r="A235" s="615"/>
      <c r="B235" s="615"/>
      <c r="C235" s="615"/>
      <c r="D235" s="615"/>
      <c r="E235" s="615"/>
      <c r="F235" s="627"/>
      <c r="G235" s="627"/>
      <c r="H235" s="627"/>
      <c r="I235" s="628"/>
      <c r="J235" s="629"/>
      <c r="K235" s="629"/>
      <c r="L235" s="629"/>
      <c r="M235" s="629"/>
      <c r="N235" s="629"/>
      <c r="O235" s="618"/>
      <c r="P235" s="618"/>
      <c r="Q235" s="618"/>
      <c r="R235" s="618"/>
      <c r="S235" s="618"/>
      <c r="T235" s="618"/>
      <c r="U235" s="618"/>
      <c r="Y235" s="619"/>
    </row>
    <row r="236" spans="1:25" x14ac:dyDescent="0.2">
      <c r="A236" s="615"/>
      <c r="B236" s="615"/>
      <c r="C236" s="615"/>
      <c r="D236" s="615"/>
      <c r="E236" s="615"/>
      <c r="F236" s="627"/>
      <c r="G236" s="627"/>
      <c r="H236" s="627"/>
      <c r="I236" s="628"/>
      <c r="J236" s="629"/>
      <c r="K236" s="629"/>
      <c r="L236" s="629"/>
      <c r="M236" s="629"/>
      <c r="N236" s="629"/>
      <c r="O236" s="618"/>
      <c r="P236" s="618"/>
      <c r="Q236" s="618"/>
      <c r="R236" s="618"/>
      <c r="S236" s="618"/>
      <c r="T236" s="618"/>
      <c r="U236" s="618"/>
      <c r="Y236" s="619"/>
    </row>
    <row r="237" spans="1:25" x14ac:dyDescent="0.2">
      <c r="A237" s="615"/>
      <c r="B237" s="615"/>
      <c r="C237" s="615"/>
      <c r="D237" s="615"/>
      <c r="E237" s="615"/>
      <c r="F237" s="627"/>
      <c r="G237" s="627"/>
      <c r="H237" s="627"/>
      <c r="I237" s="628"/>
      <c r="J237" s="629"/>
      <c r="K237" s="629"/>
      <c r="L237" s="629"/>
      <c r="M237" s="629"/>
      <c r="N237" s="629"/>
      <c r="O237" s="618"/>
      <c r="P237" s="618"/>
      <c r="Q237" s="618"/>
      <c r="R237" s="618"/>
      <c r="S237" s="618"/>
      <c r="T237" s="618"/>
      <c r="U237" s="618"/>
      <c r="Y237" s="619"/>
    </row>
    <row r="238" spans="1:25" x14ac:dyDescent="0.2">
      <c r="A238" s="615"/>
      <c r="B238" s="615"/>
      <c r="C238" s="615"/>
      <c r="D238" s="615"/>
      <c r="E238" s="615"/>
      <c r="F238" s="627"/>
      <c r="G238" s="627"/>
      <c r="H238" s="627"/>
      <c r="I238" s="628"/>
      <c r="J238" s="629"/>
      <c r="K238" s="629"/>
      <c r="L238" s="629"/>
      <c r="M238" s="629"/>
      <c r="N238" s="629"/>
      <c r="O238" s="618"/>
      <c r="P238" s="618"/>
      <c r="Q238" s="618"/>
      <c r="R238" s="618"/>
      <c r="S238" s="618"/>
      <c r="T238" s="618"/>
      <c r="U238" s="618"/>
      <c r="Y238" s="619"/>
    </row>
    <row r="239" spans="1:25" x14ac:dyDescent="0.2">
      <c r="A239" s="615"/>
      <c r="B239" s="615"/>
      <c r="C239" s="615"/>
      <c r="D239" s="615"/>
      <c r="E239" s="615"/>
      <c r="F239" s="627"/>
      <c r="G239" s="627"/>
      <c r="H239" s="627"/>
      <c r="I239" s="628"/>
      <c r="J239" s="629"/>
      <c r="K239" s="629"/>
      <c r="L239" s="629"/>
      <c r="M239" s="629"/>
      <c r="N239" s="629"/>
      <c r="O239" s="618"/>
      <c r="P239" s="618"/>
      <c r="Q239" s="618"/>
      <c r="R239" s="618"/>
      <c r="S239" s="618"/>
      <c r="T239" s="618"/>
      <c r="U239" s="618"/>
      <c r="Y239" s="619"/>
    </row>
    <row r="240" spans="1:25" x14ac:dyDescent="0.2">
      <c r="A240" s="615"/>
      <c r="B240" s="615"/>
      <c r="C240" s="615"/>
      <c r="D240" s="615"/>
      <c r="E240" s="615"/>
      <c r="F240" s="627"/>
      <c r="G240" s="627"/>
      <c r="H240" s="627"/>
      <c r="I240" s="628"/>
      <c r="J240" s="629"/>
      <c r="K240" s="629"/>
      <c r="L240" s="629"/>
      <c r="M240" s="629"/>
      <c r="N240" s="629"/>
      <c r="O240" s="618"/>
      <c r="P240" s="618"/>
      <c r="Q240" s="618"/>
      <c r="R240" s="618"/>
      <c r="S240" s="618"/>
      <c r="T240" s="618"/>
      <c r="U240" s="618"/>
      <c r="Y240" s="619"/>
    </row>
    <row r="241" spans="1:25" x14ac:dyDescent="0.2">
      <c r="A241" s="615"/>
      <c r="B241" s="615"/>
      <c r="C241" s="615"/>
      <c r="D241" s="615"/>
      <c r="E241" s="615"/>
      <c r="F241" s="627"/>
      <c r="G241" s="627"/>
      <c r="H241" s="627"/>
      <c r="I241" s="628"/>
      <c r="J241" s="629"/>
      <c r="K241" s="629"/>
      <c r="L241" s="629"/>
      <c r="M241" s="629"/>
      <c r="N241" s="629"/>
      <c r="O241" s="618"/>
      <c r="P241" s="618"/>
      <c r="Q241" s="618"/>
      <c r="R241" s="618"/>
      <c r="S241" s="618"/>
      <c r="T241" s="618"/>
      <c r="U241" s="618"/>
      <c r="Y241" s="619"/>
    </row>
    <row r="242" spans="1:25" x14ac:dyDescent="0.2">
      <c r="A242" s="615"/>
      <c r="B242" s="615"/>
      <c r="C242" s="615"/>
      <c r="D242" s="615"/>
      <c r="E242" s="615"/>
      <c r="F242" s="627"/>
      <c r="G242" s="627"/>
      <c r="H242" s="627"/>
      <c r="I242" s="628"/>
      <c r="J242" s="629"/>
      <c r="K242" s="629"/>
      <c r="L242" s="629"/>
      <c r="M242" s="629"/>
      <c r="N242" s="629"/>
      <c r="O242" s="618"/>
      <c r="P242" s="618"/>
      <c r="Q242" s="618"/>
      <c r="R242" s="618"/>
      <c r="S242" s="618"/>
      <c r="T242" s="618"/>
      <c r="U242" s="618"/>
      <c r="Y242" s="619"/>
    </row>
    <row r="243" spans="1:25" x14ac:dyDescent="0.2">
      <c r="A243" s="615"/>
      <c r="B243" s="615"/>
      <c r="C243" s="615"/>
      <c r="D243" s="615"/>
      <c r="E243" s="615"/>
      <c r="F243" s="627"/>
      <c r="G243" s="627"/>
      <c r="H243" s="627"/>
      <c r="I243" s="628"/>
      <c r="J243" s="629"/>
      <c r="K243" s="629"/>
      <c r="L243" s="629"/>
      <c r="M243" s="629"/>
      <c r="N243" s="629"/>
      <c r="O243" s="618"/>
      <c r="P243" s="618"/>
      <c r="Q243" s="618"/>
      <c r="R243" s="618"/>
      <c r="S243" s="618"/>
      <c r="T243" s="618"/>
      <c r="U243" s="618"/>
      <c r="Y243" s="619"/>
    </row>
    <row r="244" spans="1:25" x14ac:dyDescent="0.2">
      <c r="A244" s="615"/>
      <c r="B244" s="615"/>
      <c r="C244" s="615"/>
      <c r="D244" s="615"/>
      <c r="E244" s="615"/>
      <c r="F244" s="627"/>
      <c r="G244" s="627"/>
      <c r="H244" s="627"/>
      <c r="I244" s="628"/>
      <c r="J244" s="629"/>
      <c r="K244" s="629"/>
      <c r="L244" s="629"/>
      <c r="M244" s="629"/>
      <c r="N244" s="629"/>
      <c r="O244" s="618"/>
      <c r="P244" s="618"/>
      <c r="Q244" s="618"/>
      <c r="R244" s="618"/>
      <c r="S244" s="618"/>
      <c r="T244" s="618"/>
      <c r="U244" s="618"/>
      <c r="Y244" s="619"/>
    </row>
    <row r="245" spans="1:25" x14ac:dyDescent="0.2">
      <c r="A245" s="615"/>
      <c r="B245" s="615"/>
      <c r="C245" s="615"/>
      <c r="D245" s="615"/>
      <c r="E245" s="615"/>
      <c r="F245" s="627"/>
      <c r="G245" s="627"/>
      <c r="H245" s="627"/>
      <c r="I245" s="628"/>
      <c r="J245" s="629"/>
      <c r="K245" s="629"/>
      <c r="L245" s="629"/>
      <c r="M245" s="629"/>
      <c r="N245" s="629"/>
      <c r="O245" s="618"/>
      <c r="P245" s="618"/>
      <c r="Q245" s="618"/>
      <c r="R245" s="618"/>
      <c r="S245" s="618"/>
      <c r="T245" s="618"/>
      <c r="U245" s="618"/>
      <c r="Y245" s="619"/>
    </row>
    <row r="246" spans="1:25" x14ac:dyDescent="0.2">
      <c r="A246" s="615"/>
      <c r="B246" s="615"/>
      <c r="C246" s="615"/>
      <c r="D246" s="615"/>
      <c r="E246" s="615"/>
      <c r="F246" s="627"/>
      <c r="G246" s="627"/>
      <c r="H246" s="627"/>
      <c r="I246" s="628"/>
      <c r="J246" s="629"/>
      <c r="K246" s="629"/>
      <c r="L246" s="629"/>
      <c r="M246" s="629"/>
      <c r="N246" s="629"/>
      <c r="O246" s="618"/>
      <c r="P246" s="618"/>
      <c r="Q246" s="618"/>
      <c r="R246" s="618"/>
      <c r="S246" s="618"/>
      <c r="T246" s="618"/>
      <c r="U246" s="618"/>
      <c r="Y246" s="619"/>
    </row>
    <row r="247" spans="1:25" x14ac:dyDescent="0.2">
      <c r="A247" s="615"/>
      <c r="B247" s="615"/>
      <c r="C247" s="615"/>
      <c r="D247" s="615"/>
      <c r="E247" s="615"/>
      <c r="F247" s="627"/>
      <c r="G247" s="627"/>
      <c r="H247" s="627"/>
      <c r="I247" s="628"/>
      <c r="J247" s="629"/>
      <c r="K247" s="629"/>
      <c r="L247" s="629"/>
      <c r="M247" s="629"/>
      <c r="N247" s="629"/>
      <c r="O247" s="618"/>
      <c r="P247" s="618"/>
      <c r="Q247" s="618"/>
      <c r="R247" s="618"/>
      <c r="S247" s="618"/>
      <c r="T247" s="618"/>
      <c r="U247" s="618"/>
      <c r="Y247" s="619"/>
    </row>
    <row r="248" spans="1:25" x14ac:dyDescent="0.2">
      <c r="A248" s="615"/>
      <c r="B248" s="615"/>
      <c r="C248" s="615"/>
      <c r="D248" s="615"/>
      <c r="E248" s="615"/>
      <c r="F248" s="627"/>
      <c r="G248" s="627"/>
      <c r="H248" s="627"/>
      <c r="I248" s="628"/>
      <c r="J248" s="629"/>
      <c r="K248" s="629"/>
      <c r="L248" s="629"/>
      <c r="M248" s="629"/>
      <c r="N248" s="629"/>
      <c r="O248" s="618"/>
      <c r="P248" s="618"/>
      <c r="Q248" s="618"/>
      <c r="R248" s="618"/>
      <c r="S248" s="618"/>
      <c r="T248" s="618"/>
      <c r="U248" s="618"/>
      <c r="Y248" s="619"/>
    </row>
    <row r="249" spans="1:25" x14ac:dyDescent="0.2">
      <c r="A249" s="615"/>
      <c r="B249" s="615"/>
      <c r="C249" s="615"/>
      <c r="D249" s="615"/>
      <c r="E249" s="615"/>
      <c r="F249" s="627"/>
      <c r="G249" s="627"/>
      <c r="H249" s="627"/>
      <c r="I249" s="628"/>
      <c r="J249" s="629"/>
      <c r="K249" s="629"/>
      <c r="L249" s="629"/>
      <c r="M249" s="629"/>
      <c r="N249" s="629"/>
      <c r="O249" s="618"/>
      <c r="P249" s="618"/>
      <c r="Q249" s="618"/>
      <c r="R249" s="618"/>
      <c r="S249" s="618"/>
      <c r="T249" s="618"/>
      <c r="U249" s="618"/>
      <c r="Y249" s="619"/>
    </row>
    <row r="250" spans="1:25" x14ac:dyDescent="0.2">
      <c r="A250" s="615"/>
      <c r="B250" s="615"/>
      <c r="C250" s="615"/>
      <c r="D250" s="615"/>
      <c r="E250" s="615"/>
      <c r="F250" s="627"/>
      <c r="G250" s="627"/>
      <c r="H250" s="627"/>
      <c r="I250" s="628"/>
      <c r="J250" s="629"/>
      <c r="K250" s="629"/>
      <c r="L250" s="629"/>
      <c r="M250" s="629"/>
      <c r="N250" s="629"/>
      <c r="O250" s="618"/>
      <c r="P250" s="618"/>
      <c r="Q250" s="618"/>
      <c r="R250" s="618"/>
      <c r="S250" s="618"/>
      <c r="T250" s="618"/>
      <c r="U250" s="618"/>
      <c r="Y250" s="619"/>
    </row>
    <row r="251" spans="1:25" x14ac:dyDescent="0.2">
      <c r="A251" s="615"/>
      <c r="B251" s="615"/>
      <c r="C251" s="615"/>
      <c r="D251" s="615"/>
      <c r="E251" s="615"/>
      <c r="F251" s="627"/>
      <c r="G251" s="627"/>
      <c r="H251" s="627"/>
      <c r="I251" s="628"/>
      <c r="J251" s="629"/>
      <c r="K251" s="629"/>
      <c r="L251" s="629"/>
      <c r="M251" s="629"/>
      <c r="N251" s="629"/>
      <c r="O251" s="618"/>
      <c r="P251" s="618"/>
      <c r="Q251" s="618"/>
      <c r="R251" s="618"/>
      <c r="S251" s="618"/>
      <c r="T251" s="618"/>
      <c r="U251" s="618"/>
      <c r="Y251" s="619"/>
    </row>
    <row r="252" spans="1:25" x14ac:dyDescent="0.2">
      <c r="A252" s="615"/>
      <c r="B252" s="615"/>
      <c r="C252" s="615"/>
      <c r="D252" s="615"/>
      <c r="E252" s="615"/>
      <c r="F252" s="627"/>
      <c r="G252" s="627"/>
      <c r="H252" s="627"/>
      <c r="I252" s="628"/>
      <c r="J252" s="629"/>
      <c r="K252" s="629"/>
      <c r="L252" s="629"/>
      <c r="M252" s="629"/>
      <c r="N252" s="629"/>
      <c r="O252" s="618"/>
      <c r="P252" s="618"/>
      <c r="Q252" s="618"/>
      <c r="R252" s="618"/>
      <c r="S252" s="618"/>
      <c r="T252" s="618"/>
      <c r="U252" s="618"/>
      <c r="Y252" s="619"/>
    </row>
    <row r="253" spans="1:25" x14ac:dyDescent="0.2">
      <c r="A253" s="615"/>
      <c r="B253" s="615"/>
      <c r="C253" s="615"/>
      <c r="D253" s="615"/>
      <c r="E253" s="615"/>
      <c r="F253" s="627"/>
      <c r="G253" s="627"/>
      <c r="H253" s="627"/>
      <c r="I253" s="628"/>
      <c r="J253" s="629"/>
      <c r="K253" s="629"/>
      <c r="L253" s="629"/>
      <c r="M253" s="629"/>
      <c r="N253" s="629"/>
      <c r="O253" s="618"/>
      <c r="P253" s="618"/>
      <c r="Q253" s="618"/>
      <c r="R253" s="618"/>
      <c r="S253" s="618"/>
      <c r="T253" s="618"/>
      <c r="U253" s="618"/>
      <c r="Y253" s="619"/>
    </row>
    <row r="254" spans="1:25" x14ac:dyDescent="0.2">
      <c r="A254" s="615"/>
      <c r="B254" s="615"/>
      <c r="C254" s="615"/>
      <c r="D254" s="615"/>
      <c r="E254" s="615"/>
      <c r="F254" s="627"/>
      <c r="G254" s="627"/>
      <c r="H254" s="627"/>
      <c r="I254" s="628"/>
      <c r="J254" s="629"/>
      <c r="K254" s="629"/>
      <c r="L254" s="629"/>
      <c r="M254" s="629"/>
      <c r="N254" s="629"/>
      <c r="O254" s="618"/>
      <c r="P254" s="618"/>
      <c r="Q254" s="618"/>
      <c r="R254" s="618"/>
      <c r="S254" s="618"/>
      <c r="T254" s="618"/>
      <c r="U254" s="618"/>
      <c r="Y254" s="619"/>
    </row>
    <row r="255" spans="1:25" x14ac:dyDescent="0.2">
      <c r="A255" s="615"/>
      <c r="B255" s="615"/>
      <c r="C255" s="615"/>
      <c r="D255" s="615"/>
      <c r="E255" s="615"/>
      <c r="F255" s="627"/>
      <c r="G255" s="627"/>
      <c r="H255" s="627"/>
      <c r="I255" s="628"/>
      <c r="J255" s="629"/>
      <c r="K255" s="629"/>
      <c r="L255" s="629"/>
      <c r="M255" s="629"/>
      <c r="N255" s="629"/>
      <c r="O255" s="618"/>
      <c r="P255" s="618"/>
      <c r="Q255" s="618"/>
      <c r="R255" s="618"/>
      <c r="S255" s="618"/>
      <c r="T255" s="618"/>
      <c r="U255" s="618"/>
      <c r="Y255" s="619"/>
    </row>
    <row r="256" spans="1:25" x14ac:dyDescent="0.2">
      <c r="A256" s="615"/>
      <c r="B256" s="615"/>
      <c r="C256" s="615"/>
      <c r="D256" s="615"/>
      <c r="E256" s="615"/>
      <c r="F256" s="627"/>
      <c r="G256" s="627"/>
      <c r="H256" s="627"/>
      <c r="I256" s="628"/>
      <c r="J256" s="629"/>
      <c r="K256" s="629"/>
      <c r="L256" s="629"/>
      <c r="M256" s="629"/>
      <c r="N256" s="629"/>
      <c r="O256" s="618"/>
      <c r="P256" s="618"/>
      <c r="Q256" s="618"/>
      <c r="R256" s="618"/>
      <c r="S256" s="618"/>
      <c r="T256" s="618"/>
      <c r="U256" s="618"/>
      <c r="Y256" s="619"/>
    </row>
    <row r="257" spans="1:25" x14ac:dyDescent="0.2">
      <c r="A257" s="615"/>
      <c r="B257" s="615"/>
      <c r="C257" s="615"/>
      <c r="D257" s="615"/>
      <c r="E257" s="615"/>
      <c r="F257" s="627"/>
      <c r="G257" s="627"/>
      <c r="H257" s="627"/>
      <c r="I257" s="628"/>
      <c r="J257" s="629"/>
      <c r="K257" s="629"/>
      <c r="L257" s="629"/>
      <c r="M257" s="629"/>
      <c r="N257" s="629"/>
      <c r="O257" s="618"/>
      <c r="P257" s="618"/>
      <c r="Q257" s="618"/>
      <c r="R257" s="618"/>
      <c r="S257" s="618"/>
      <c r="T257" s="618"/>
      <c r="U257" s="618"/>
      <c r="Y257" s="619"/>
    </row>
    <row r="258" spans="1:25" x14ac:dyDescent="0.2">
      <c r="A258" s="615"/>
      <c r="B258" s="615"/>
      <c r="C258" s="615"/>
      <c r="D258" s="615"/>
      <c r="E258" s="615"/>
      <c r="F258" s="627"/>
      <c r="G258" s="627"/>
      <c r="H258" s="627"/>
      <c r="I258" s="628"/>
      <c r="J258" s="629"/>
      <c r="K258" s="629"/>
      <c r="L258" s="629"/>
      <c r="M258" s="629"/>
      <c r="N258" s="629"/>
      <c r="O258" s="618"/>
      <c r="P258" s="618"/>
      <c r="Q258" s="618"/>
      <c r="R258" s="618"/>
      <c r="S258" s="618"/>
      <c r="T258" s="618"/>
      <c r="U258" s="618"/>
      <c r="Y258" s="619"/>
    </row>
    <row r="259" spans="1:25" x14ac:dyDescent="0.2">
      <c r="A259" s="615"/>
      <c r="B259" s="615"/>
      <c r="C259" s="615"/>
      <c r="D259" s="615"/>
      <c r="E259" s="615"/>
      <c r="F259" s="627"/>
      <c r="G259" s="627"/>
      <c r="H259" s="627"/>
      <c r="I259" s="628"/>
      <c r="J259" s="629"/>
      <c r="K259" s="629"/>
      <c r="L259" s="629"/>
      <c r="M259" s="629"/>
      <c r="N259" s="629"/>
      <c r="O259" s="618"/>
      <c r="P259" s="618"/>
      <c r="Q259" s="618"/>
      <c r="R259" s="618"/>
      <c r="S259" s="618"/>
      <c r="T259" s="618"/>
      <c r="U259" s="618"/>
      <c r="Y259" s="619"/>
    </row>
    <row r="260" spans="1:25" x14ac:dyDescent="0.2">
      <c r="A260" s="615"/>
      <c r="B260" s="615"/>
      <c r="C260" s="615"/>
      <c r="D260" s="615"/>
      <c r="E260" s="615"/>
      <c r="F260" s="627"/>
      <c r="G260" s="627"/>
      <c r="H260" s="627"/>
      <c r="I260" s="628"/>
      <c r="J260" s="629"/>
      <c r="K260" s="629"/>
      <c r="L260" s="629"/>
      <c r="M260" s="629"/>
      <c r="N260" s="629"/>
      <c r="O260" s="618"/>
      <c r="P260" s="618"/>
      <c r="Q260" s="618"/>
      <c r="R260" s="618"/>
      <c r="S260" s="618"/>
      <c r="T260" s="618"/>
      <c r="U260" s="618"/>
      <c r="Y260" s="619"/>
    </row>
    <row r="261" spans="1:25" x14ac:dyDescent="0.2">
      <c r="A261" s="615"/>
      <c r="B261" s="615"/>
      <c r="C261" s="615"/>
      <c r="D261" s="615"/>
      <c r="E261" s="615"/>
      <c r="F261" s="627"/>
      <c r="G261" s="627"/>
      <c r="H261" s="627"/>
      <c r="I261" s="628"/>
      <c r="J261" s="629"/>
      <c r="K261" s="629"/>
      <c r="L261" s="629"/>
      <c r="M261" s="629"/>
      <c r="N261" s="629"/>
      <c r="O261" s="618"/>
      <c r="P261" s="618"/>
      <c r="Q261" s="618"/>
      <c r="R261" s="618"/>
      <c r="S261" s="618"/>
      <c r="T261" s="618"/>
      <c r="U261" s="618"/>
      <c r="Y261" s="619"/>
    </row>
    <row r="262" spans="1:25" x14ac:dyDescent="0.2">
      <c r="A262" s="615"/>
      <c r="B262" s="615"/>
      <c r="C262" s="615"/>
      <c r="D262" s="615"/>
      <c r="E262" s="615"/>
      <c r="F262" s="627"/>
      <c r="G262" s="627"/>
      <c r="H262" s="627"/>
      <c r="I262" s="628"/>
      <c r="J262" s="629"/>
      <c r="K262" s="629"/>
      <c r="L262" s="629"/>
      <c r="M262" s="629"/>
      <c r="N262" s="629"/>
      <c r="O262" s="618"/>
      <c r="P262" s="618"/>
      <c r="Q262" s="618"/>
      <c r="R262" s="618"/>
      <c r="S262" s="618"/>
      <c r="T262" s="618"/>
      <c r="U262" s="618"/>
      <c r="Y262" s="619"/>
    </row>
    <row r="263" spans="1:25" x14ac:dyDescent="0.2">
      <c r="A263" s="615"/>
      <c r="B263" s="615"/>
      <c r="C263" s="615"/>
      <c r="D263" s="615"/>
      <c r="E263" s="615"/>
      <c r="F263" s="627"/>
      <c r="G263" s="627"/>
      <c r="H263" s="627"/>
      <c r="I263" s="628"/>
      <c r="J263" s="629"/>
      <c r="K263" s="629"/>
      <c r="L263" s="629"/>
      <c r="M263" s="629"/>
      <c r="N263" s="629"/>
      <c r="O263" s="618"/>
      <c r="P263" s="618"/>
      <c r="Q263" s="618"/>
      <c r="R263" s="618"/>
      <c r="S263" s="618"/>
      <c r="T263" s="618"/>
      <c r="U263" s="618"/>
      <c r="Y263" s="619"/>
    </row>
    <row r="264" spans="1:25" x14ac:dyDescent="0.2">
      <c r="A264" s="615"/>
      <c r="B264" s="615"/>
      <c r="C264" s="615"/>
      <c r="D264" s="615"/>
      <c r="E264" s="615"/>
      <c r="F264" s="627"/>
      <c r="G264" s="627"/>
      <c r="H264" s="627"/>
      <c r="I264" s="628"/>
      <c r="J264" s="629"/>
      <c r="K264" s="629"/>
      <c r="L264" s="629"/>
      <c r="M264" s="629"/>
      <c r="N264" s="629"/>
      <c r="O264" s="618"/>
      <c r="P264" s="618"/>
      <c r="Q264" s="618"/>
      <c r="R264" s="618"/>
      <c r="S264" s="618"/>
      <c r="T264" s="618"/>
      <c r="U264" s="618"/>
      <c r="Y264" s="619"/>
    </row>
    <row r="265" spans="1:25" x14ac:dyDescent="0.2">
      <c r="A265" s="615"/>
      <c r="B265" s="615"/>
      <c r="C265" s="615"/>
      <c r="D265" s="615"/>
      <c r="E265" s="615"/>
      <c r="F265" s="627"/>
      <c r="G265" s="627"/>
      <c r="H265" s="627"/>
      <c r="I265" s="628"/>
      <c r="J265" s="629"/>
      <c r="K265" s="629"/>
      <c r="L265" s="629"/>
      <c r="M265" s="629"/>
      <c r="N265" s="629"/>
      <c r="O265" s="618"/>
      <c r="P265" s="618"/>
      <c r="Q265" s="618"/>
      <c r="R265" s="618"/>
      <c r="S265" s="618"/>
      <c r="T265" s="618"/>
      <c r="U265" s="618"/>
      <c r="Y265" s="619"/>
    </row>
    <row r="266" spans="1:25" x14ac:dyDescent="0.2">
      <c r="A266" s="615"/>
      <c r="B266" s="615"/>
      <c r="C266" s="615"/>
      <c r="D266" s="615"/>
      <c r="E266" s="615"/>
      <c r="F266" s="627"/>
      <c r="G266" s="627"/>
      <c r="H266" s="627"/>
      <c r="I266" s="628"/>
      <c r="J266" s="629"/>
      <c r="K266" s="629"/>
      <c r="L266" s="629"/>
      <c r="M266" s="629"/>
      <c r="N266" s="629"/>
      <c r="O266" s="618"/>
      <c r="P266" s="618"/>
      <c r="Q266" s="618"/>
      <c r="R266" s="618"/>
      <c r="S266" s="618"/>
      <c r="T266" s="618"/>
      <c r="U266" s="618"/>
      <c r="Y266" s="619"/>
    </row>
    <row r="267" spans="1:25" x14ac:dyDescent="0.2">
      <c r="A267" s="615"/>
      <c r="B267" s="615"/>
      <c r="C267" s="615"/>
      <c r="D267" s="615"/>
      <c r="E267" s="615"/>
      <c r="F267" s="627"/>
      <c r="G267" s="627"/>
      <c r="H267" s="627"/>
      <c r="I267" s="628"/>
      <c r="J267" s="629"/>
      <c r="K267" s="629"/>
      <c r="L267" s="629"/>
      <c r="M267" s="629"/>
      <c r="N267" s="629"/>
      <c r="O267" s="618"/>
      <c r="P267" s="618"/>
      <c r="Q267" s="618"/>
      <c r="R267" s="618"/>
      <c r="S267" s="618"/>
      <c r="T267" s="618"/>
      <c r="U267" s="618"/>
      <c r="Y267" s="619"/>
    </row>
    <row r="268" spans="1:25" x14ac:dyDescent="0.2">
      <c r="A268" s="615"/>
      <c r="B268" s="615"/>
      <c r="C268" s="615"/>
      <c r="D268" s="615"/>
      <c r="E268" s="615"/>
      <c r="F268" s="627"/>
      <c r="G268" s="627"/>
      <c r="H268" s="627"/>
      <c r="I268" s="628"/>
      <c r="J268" s="629"/>
      <c r="K268" s="629"/>
      <c r="L268" s="629"/>
      <c r="M268" s="629"/>
      <c r="N268" s="629"/>
      <c r="O268" s="618"/>
      <c r="P268" s="618"/>
      <c r="Q268" s="618"/>
      <c r="R268" s="618"/>
      <c r="S268" s="618"/>
      <c r="T268" s="618"/>
      <c r="U268" s="618"/>
      <c r="Y268" s="619"/>
    </row>
    <row r="269" spans="1:25" x14ac:dyDescent="0.2">
      <c r="A269" s="615"/>
      <c r="B269" s="615"/>
      <c r="C269" s="615"/>
      <c r="D269" s="615"/>
      <c r="E269" s="615"/>
      <c r="F269" s="627"/>
      <c r="G269" s="627"/>
      <c r="H269" s="627"/>
      <c r="I269" s="628"/>
      <c r="J269" s="629"/>
      <c r="K269" s="629"/>
      <c r="L269" s="629"/>
      <c r="M269" s="629"/>
      <c r="N269" s="629"/>
      <c r="O269" s="618"/>
      <c r="P269" s="618"/>
      <c r="Q269" s="618"/>
      <c r="R269" s="618"/>
      <c r="S269" s="618"/>
      <c r="T269" s="618"/>
      <c r="U269" s="618"/>
      <c r="Y269" s="619"/>
    </row>
    <row r="270" spans="1:25" x14ac:dyDescent="0.2">
      <c r="A270" s="615"/>
      <c r="B270" s="615"/>
      <c r="C270" s="615"/>
      <c r="D270" s="615"/>
      <c r="E270" s="615"/>
      <c r="F270" s="627"/>
      <c r="G270" s="627"/>
      <c r="H270" s="627"/>
      <c r="I270" s="628"/>
      <c r="J270" s="629"/>
      <c r="K270" s="629"/>
      <c r="L270" s="629"/>
      <c r="M270" s="629"/>
      <c r="N270" s="629"/>
      <c r="O270" s="618"/>
      <c r="P270" s="618"/>
      <c r="Q270" s="618"/>
      <c r="R270" s="618"/>
      <c r="S270" s="618"/>
      <c r="T270" s="618"/>
      <c r="U270" s="618"/>
      <c r="Y270" s="619"/>
    </row>
    <row r="271" spans="1:25" x14ac:dyDescent="0.2">
      <c r="A271" s="615"/>
      <c r="B271" s="615"/>
      <c r="C271" s="615"/>
      <c r="D271" s="615"/>
      <c r="E271" s="615"/>
      <c r="F271" s="627"/>
      <c r="G271" s="627"/>
      <c r="H271" s="627"/>
      <c r="I271" s="628"/>
      <c r="J271" s="629"/>
      <c r="K271" s="629"/>
      <c r="L271" s="629"/>
      <c r="M271" s="629"/>
      <c r="N271" s="629"/>
      <c r="O271" s="618"/>
      <c r="P271" s="618"/>
      <c r="Q271" s="618"/>
      <c r="R271" s="618"/>
      <c r="S271" s="618"/>
      <c r="T271" s="618"/>
      <c r="U271" s="618"/>
      <c r="Y271" s="619"/>
    </row>
    <row r="272" spans="1:25" x14ac:dyDescent="0.2">
      <c r="A272" s="615"/>
      <c r="B272" s="615"/>
      <c r="C272" s="615"/>
      <c r="D272" s="615"/>
      <c r="E272" s="615"/>
      <c r="F272" s="627"/>
      <c r="G272" s="627"/>
      <c r="H272" s="627"/>
      <c r="I272" s="628"/>
      <c r="J272" s="629"/>
      <c r="K272" s="629"/>
      <c r="L272" s="629"/>
      <c r="M272" s="629"/>
      <c r="N272" s="629"/>
      <c r="O272" s="618"/>
      <c r="P272" s="618"/>
      <c r="Q272" s="618"/>
      <c r="R272" s="618"/>
      <c r="S272" s="618"/>
      <c r="T272" s="618"/>
      <c r="U272" s="618"/>
      <c r="Y272" s="619"/>
    </row>
    <row r="273" spans="1:25" x14ac:dyDescent="0.2">
      <c r="A273" s="615"/>
      <c r="B273" s="615"/>
      <c r="C273" s="615"/>
      <c r="D273" s="615"/>
      <c r="E273" s="615"/>
      <c r="F273" s="627"/>
      <c r="G273" s="627"/>
      <c r="H273" s="627"/>
      <c r="I273" s="628"/>
      <c r="J273" s="629"/>
      <c r="K273" s="629"/>
      <c r="L273" s="629"/>
      <c r="M273" s="629"/>
      <c r="N273" s="629"/>
      <c r="O273" s="618"/>
      <c r="P273" s="618"/>
      <c r="Q273" s="618"/>
      <c r="R273" s="618"/>
      <c r="S273" s="618"/>
      <c r="T273" s="618"/>
      <c r="U273" s="618"/>
      <c r="Y273" s="619"/>
    </row>
    <row r="274" spans="1:25" x14ac:dyDescent="0.2">
      <c r="A274" s="615"/>
      <c r="B274" s="615"/>
      <c r="C274" s="615"/>
      <c r="D274" s="615"/>
      <c r="E274" s="615"/>
      <c r="F274" s="627"/>
      <c r="G274" s="627"/>
      <c r="H274" s="627"/>
      <c r="I274" s="628"/>
      <c r="J274" s="629"/>
      <c r="K274" s="629"/>
      <c r="L274" s="629"/>
      <c r="M274" s="629"/>
      <c r="N274" s="629"/>
      <c r="O274" s="618"/>
      <c r="P274" s="618"/>
      <c r="Q274" s="618"/>
      <c r="R274" s="618"/>
      <c r="S274" s="618"/>
      <c r="T274" s="618"/>
      <c r="U274" s="618"/>
      <c r="Y274" s="619"/>
    </row>
    <row r="275" spans="1:25" x14ac:dyDescent="0.2">
      <c r="A275" s="615"/>
      <c r="B275" s="615"/>
      <c r="C275" s="615"/>
      <c r="D275" s="615"/>
      <c r="E275" s="615"/>
      <c r="F275" s="627"/>
      <c r="G275" s="627"/>
      <c r="H275" s="627"/>
      <c r="I275" s="628"/>
      <c r="J275" s="629"/>
      <c r="K275" s="629"/>
      <c r="L275" s="629"/>
      <c r="M275" s="629"/>
      <c r="N275" s="629"/>
      <c r="O275" s="618"/>
      <c r="P275" s="618"/>
      <c r="Q275" s="618"/>
      <c r="R275" s="618"/>
      <c r="S275" s="618"/>
      <c r="T275" s="618"/>
      <c r="U275" s="618"/>
      <c r="Y275" s="619"/>
    </row>
    <row r="276" spans="1:25" x14ac:dyDescent="0.2">
      <c r="A276" s="615"/>
      <c r="B276" s="615"/>
      <c r="C276" s="615"/>
      <c r="D276" s="615"/>
      <c r="E276" s="615"/>
      <c r="F276" s="627"/>
      <c r="G276" s="627"/>
      <c r="H276" s="627"/>
      <c r="I276" s="628"/>
      <c r="J276" s="629"/>
      <c r="K276" s="629"/>
      <c r="L276" s="629"/>
      <c r="M276" s="629"/>
      <c r="N276" s="629"/>
      <c r="O276" s="618"/>
      <c r="P276" s="618"/>
      <c r="Q276" s="618"/>
      <c r="R276" s="618"/>
      <c r="S276" s="618"/>
      <c r="T276" s="618"/>
      <c r="U276" s="618"/>
      <c r="Y276" s="619"/>
    </row>
    <row r="277" spans="1:25" x14ac:dyDescent="0.2">
      <c r="A277" s="615"/>
      <c r="B277" s="615"/>
      <c r="C277" s="615"/>
      <c r="D277" s="615"/>
      <c r="E277" s="615"/>
      <c r="F277" s="627"/>
      <c r="G277" s="627"/>
      <c r="H277" s="627"/>
      <c r="I277" s="628"/>
      <c r="J277" s="629"/>
      <c r="K277" s="629"/>
      <c r="L277" s="629"/>
      <c r="M277" s="629"/>
      <c r="N277" s="629"/>
      <c r="O277" s="618"/>
      <c r="P277" s="618"/>
      <c r="Q277" s="618"/>
      <c r="R277" s="618"/>
      <c r="S277" s="618"/>
      <c r="T277" s="618"/>
      <c r="U277" s="618"/>
      <c r="Y277" s="619"/>
    </row>
    <row r="278" spans="1:25" x14ac:dyDescent="0.2">
      <c r="A278" s="615"/>
      <c r="B278" s="615"/>
      <c r="C278" s="615"/>
      <c r="D278" s="615"/>
      <c r="E278" s="615"/>
      <c r="F278" s="627"/>
      <c r="G278" s="627"/>
      <c r="H278" s="627"/>
      <c r="I278" s="628"/>
      <c r="J278" s="629"/>
      <c r="K278" s="629"/>
      <c r="L278" s="629"/>
      <c r="M278" s="629"/>
      <c r="N278" s="629"/>
      <c r="O278" s="618"/>
      <c r="P278" s="618"/>
      <c r="Q278" s="618"/>
      <c r="R278" s="618"/>
      <c r="S278" s="618"/>
      <c r="T278" s="618"/>
      <c r="U278" s="618"/>
      <c r="Y278" s="619"/>
    </row>
    <row r="279" spans="1:25" x14ac:dyDescent="0.2">
      <c r="A279" s="615"/>
      <c r="B279" s="615"/>
      <c r="C279" s="615"/>
      <c r="D279" s="615"/>
      <c r="E279" s="615"/>
      <c r="F279" s="627"/>
      <c r="G279" s="627"/>
      <c r="H279" s="627"/>
      <c r="I279" s="628"/>
      <c r="J279" s="629"/>
      <c r="K279" s="629"/>
      <c r="L279" s="629"/>
      <c r="M279" s="629"/>
      <c r="N279" s="629"/>
      <c r="O279" s="618"/>
      <c r="P279" s="618"/>
      <c r="Q279" s="618"/>
      <c r="R279" s="618"/>
      <c r="S279" s="618"/>
      <c r="T279" s="618"/>
      <c r="U279" s="618"/>
      <c r="Y279" s="619"/>
    </row>
    <row r="280" spans="1:25" x14ac:dyDescent="0.2">
      <c r="A280" s="615"/>
      <c r="B280" s="615"/>
      <c r="C280" s="615"/>
      <c r="D280" s="615"/>
      <c r="E280" s="615"/>
      <c r="F280" s="627"/>
      <c r="G280" s="627"/>
      <c r="H280" s="627"/>
      <c r="I280" s="628"/>
      <c r="J280" s="629"/>
      <c r="K280" s="629"/>
      <c r="L280" s="629"/>
      <c r="M280" s="629"/>
      <c r="N280" s="629"/>
      <c r="O280" s="618"/>
      <c r="P280" s="618"/>
      <c r="Q280" s="618"/>
      <c r="R280" s="618"/>
      <c r="S280" s="618"/>
      <c r="T280" s="618"/>
      <c r="U280" s="618"/>
      <c r="Y280" s="619"/>
    </row>
    <row r="281" spans="1:25" x14ac:dyDescent="0.2">
      <c r="A281" s="615"/>
      <c r="B281" s="615"/>
      <c r="C281" s="615"/>
      <c r="D281" s="615"/>
      <c r="E281" s="615"/>
      <c r="F281" s="627"/>
      <c r="G281" s="627"/>
      <c r="H281" s="627"/>
      <c r="I281" s="628"/>
      <c r="J281" s="629"/>
      <c r="K281" s="629"/>
      <c r="L281" s="629"/>
      <c r="M281" s="629"/>
      <c r="N281" s="629"/>
      <c r="O281" s="618"/>
      <c r="P281" s="618"/>
      <c r="Q281" s="618"/>
      <c r="R281" s="618"/>
      <c r="S281" s="618"/>
      <c r="T281" s="618"/>
      <c r="U281" s="618"/>
      <c r="Y281" s="619"/>
    </row>
    <row r="282" spans="1:25" x14ac:dyDescent="0.2">
      <c r="A282" s="615"/>
      <c r="B282" s="615"/>
      <c r="C282" s="615"/>
      <c r="D282" s="615"/>
      <c r="E282" s="615"/>
      <c r="F282" s="627"/>
      <c r="G282" s="627"/>
      <c r="H282" s="627"/>
      <c r="I282" s="628"/>
      <c r="J282" s="629"/>
      <c r="K282" s="629"/>
      <c r="L282" s="629"/>
      <c r="M282" s="629"/>
      <c r="N282" s="629"/>
      <c r="O282" s="618"/>
      <c r="P282" s="618"/>
      <c r="Q282" s="618"/>
      <c r="R282" s="618"/>
      <c r="S282" s="618"/>
      <c r="T282" s="618"/>
      <c r="U282" s="618"/>
      <c r="Y282" s="619"/>
    </row>
    <row r="283" spans="1:25" x14ac:dyDescent="0.2">
      <c r="A283" s="615"/>
      <c r="B283" s="615"/>
      <c r="C283" s="615"/>
      <c r="D283" s="615"/>
      <c r="E283" s="615"/>
      <c r="F283" s="627"/>
      <c r="G283" s="627"/>
      <c r="H283" s="627"/>
      <c r="I283" s="628"/>
      <c r="J283" s="629"/>
      <c r="K283" s="629"/>
      <c r="L283" s="629"/>
      <c r="M283" s="629"/>
      <c r="N283" s="629"/>
      <c r="O283" s="618"/>
      <c r="P283" s="618"/>
      <c r="Q283" s="618"/>
      <c r="R283" s="618"/>
      <c r="S283" s="618"/>
      <c r="T283" s="618"/>
      <c r="U283" s="618"/>
      <c r="Y283" s="619"/>
    </row>
    <row r="284" spans="1:25" x14ac:dyDescent="0.2">
      <c r="A284" s="615"/>
      <c r="B284" s="615"/>
      <c r="C284" s="615"/>
      <c r="D284" s="615"/>
      <c r="E284" s="615"/>
      <c r="F284" s="627"/>
      <c r="G284" s="627"/>
      <c r="H284" s="627"/>
      <c r="I284" s="628"/>
      <c r="J284" s="629"/>
      <c r="K284" s="629"/>
      <c r="L284" s="629"/>
      <c r="M284" s="629"/>
      <c r="N284" s="629"/>
      <c r="O284" s="618"/>
      <c r="P284" s="618"/>
      <c r="Q284" s="618"/>
      <c r="R284" s="618"/>
      <c r="S284" s="618"/>
      <c r="T284" s="618"/>
      <c r="U284" s="618"/>
      <c r="Y284" s="619"/>
    </row>
    <row r="285" spans="1:25" x14ac:dyDescent="0.2">
      <c r="A285" s="615"/>
      <c r="B285" s="615"/>
      <c r="C285" s="615"/>
      <c r="D285" s="615"/>
      <c r="E285" s="615"/>
      <c r="F285" s="627"/>
      <c r="G285" s="627"/>
      <c r="H285" s="627"/>
      <c r="I285" s="628"/>
      <c r="J285" s="629"/>
      <c r="K285" s="629"/>
      <c r="L285" s="629"/>
      <c r="M285" s="629"/>
      <c r="N285" s="629"/>
      <c r="O285" s="618"/>
      <c r="P285" s="618"/>
      <c r="Q285" s="618"/>
      <c r="R285" s="618"/>
      <c r="S285" s="618"/>
      <c r="T285" s="618"/>
      <c r="U285" s="618"/>
      <c r="Y285" s="619"/>
    </row>
    <row r="286" spans="1:25" x14ac:dyDescent="0.2">
      <c r="A286" s="615"/>
      <c r="B286" s="615"/>
      <c r="C286" s="615"/>
      <c r="D286" s="615"/>
      <c r="E286" s="615"/>
      <c r="F286" s="627"/>
      <c r="G286" s="627"/>
      <c r="H286" s="627"/>
      <c r="I286" s="628"/>
      <c r="J286" s="629"/>
      <c r="K286" s="629"/>
      <c r="L286" s="629"/>
      <c r="M286" s="629"/>
      <c r="N286" s="629"/>
      <c r="O286" s="618"/>
      <c r="P286" s="618"/>
      <c r="Q286" s="618"/>
      <c r="R286" s="618"/>
      <c r="S286" s="618"/>
      <c r="T286" s="618"/>
      <c r="U286" s="618"/>
      <c r="Y286" s="619"/>
    </row>
    <row r="287" spans="1:25" x14ac:dyDescent="0.2">
      <c r="A287" s="615"/>
      <c r="B287" s="615"/>
      <c r="C287" s="615"/>
      <c r="D287" s="615"/>
      <c r="E287" s="615"/>
      <c r="F287" s="627"/>
      <c r="G287" s="627"/>
      <c r="H287" s="627"/>
      <c r="I287" s="628"/>
      <c r="J287" s="629"/>
      <c r="K287" s="629"/>
      <c r="L287" s="629"/>
      <c r="M287" s="629"/>
      <c r="N287" s="629"/>
      <c r="O287" s="618"/>
      <c r="P287" s="618"/>
      <c r="Q287" s="618"/>
      <c r="R287" s="618"/>
      <c r="S287" s="618"/>
      <c r="T287" s="618"/>
      <c r="U287" s="618"/>
      <c r="Y287" s="619"/>
    </row>
    <row r="288" spans="1:25" x14ac:dyDescent="0.2">
      <c r="A288" s="615"/>
      <c r="B288" s="615"/>
      <c r="C288" s="615"/>
      <c r="D288" s="615"/>
      <c r="E288" s="615"/>
      <c r="F288" s="627"/>
      <c r="G288" s="627"/>
      <c r="H288" s="627"/>
      <c r="I288" s="628"/>
      <c r="J288" s="629"/>
      <c r="K288" s="629"/>
      <c r="L288" s="629"/>
      <c r="M288" s="629"/>
      <c r="N288" s="629"/>
      <c r="O288" s="618"/>
      <c r="P288" s="618"/>
      <c r="Q288" s="618"/>
      <c r="R288" s="618"/>
      <c r="S288" s="618"/>
      <c r="T288" s="618"/>
      <c r="U288" s="618"/>
      <c r="Y288" s="619"/>
    </row>
    <row r="289" spans="1:25" x14ac:dyDescent="0.2">
      <c r="A289" s="615"/>
      <c r="B289" s="615"/>
      <c r="C289" s="615"/>
      <c r="D289" s="615"/>
      <c r="E289" s="615"/>
      <c r="F289" s="627"/>
      <c r="G289" s="627"/>
      <c r="H289" s="627"/>
      <c r="I289" s="628"/>
      <c r="J289" s="629"/>
      <c r="K289" s="629"/>
      <c r="L289" s="629"/>
      <c r="M289" s="629"/>
      <c r="N289" s="629"/>
      <c r="O289" s="618"/>
      <c r="P289" s="618"/>
      <c r="Q289" s="618"/>
      <c r="R289" s="618"/>
      <c r="S289" s="618"/>
      <c r="T289" s="618"/>
      <c r="U289" s="618"/>
      <c r="Y289" s="619"/>
    </row>
    <row r="290" spans="1:25" x14ac:dyDescent="0.2">
      <c r="A290" s="615"/>
      <c r="B290" s="615"/>
      <c r="C290" s="615"/>
      <c r="D290" s="615"/>
      <c r="E290" s="615"/>
      <c r="F290" s="627"/>
      <c r="G290" s="627"/>
      <c r="H290" s="627"/>
      <c r="I290" s="628"/>
      <c r="J290" s="629"/>
      <c r="K290" s="629"/>
      <c r="L290" s="629"/>
      <c r="M290" s="629"/>
      <c r="N290" s="629"/>
      <c r="O290" s="618"/>
      <c r="P290" s="618"/>
      <c r="Q290" s="618"/>
      <c r="R290" s="618"/>
      <c r="S290" s="618"/>
      <c r="T290" s="618"/>
      <c r="U290" s="618"/>
      <c r="Y290" s="619"/>
    </row>
    <row r="291" spans="1:25" x14ac:dyDescent="0.2">
      <c r="A291" s="615"/>
      <c r="B291" s="615"/>
      <c r="C291" s="615"/>
      <c r="D291" s="615"/>
      <c r="E291" s="615"/>
      <c r="F291" s="627"/>
      <c r="G291" s="627"/>
      <c r="H291" s="627"/>
      <c r="I291" s="628"/>
      <c r="J291" s="629"/>
      <c r="K291" s="629"/>
      <c r="L291" s="629"/>
      <c r="M291" s="629"/>
      <c r="N291" s="629"/>
      <c r="O291" s="618"/>
      <c r="P291" s="618"/>
      <c r="Q291" s="618"/>
      <c r="R291" s="618"/>
      <c r="S291" s="618"/>
      <c r="T291" s="618"/>
      <c r="U291" s="618"/>
      <c r="Y291" s="619"/>
    </row>
    <row r="292" spans="1:25" x14ac:dyDescent="0.2">
      <c r="A292" s="615"/>
      <c r="B292" s="615"/>
      <c r="C292" s="615"/>
      <c r="D292" s="615"/>
      <c r="E292" s="615"/>
      <c r="F292" s="627"/>
      <c r="G292" s="627"/>
      <c r="H292" s="627"/>
      <c r="I292" s="628"/>
      <c r="J292" s="629"/>
      <c r="K292" s="629"/>
      <c r="L292" s="629"/>
      <c r="M292" s="629"/>
      <c r="N292" s="629"/>
      <c r="O292" s="618"/>
      <c r="P292" s="618"/>
      <c r="Q292" s="618"/>
      <c r="R292" s="618"/>
      <c r="S292" s="618"/>
      <c r="T292" s="618"/>
      <c r="U292" s="618"/>
      <c r="Y292" s="619"/>
    </row>
    <row r="293" spans="1:25" x14ac:dyDescent="0.2">
      <c r="A293" s="615"/>
      <c r="B293" s="615"/>
      <c r="C293" s="615"/>
      <c r="D293" s="615"/>
      <c r="E293" s="615"/>
      <c r="F293" s="627"/>
      <c r="G293" s="627"/>
      <c r="H293" s="627"/>
      <c r="I293" s="628"/>
      <c r="J293" s="629"/>
      <c r="K293" s="629"/>
      <c r="L293" s="629"/>
      <c r="M293" s="629"/>
      <c r="N293" s="629"/>
      <c r="O293" s="618"/>
      <c r="P293" s="618"/>
      <c r="Q293" s="618"/>
      <c r="R293" s="618"/>
      <c r="S293" s="618"/>
      <c r="T293" s="618"/>
      <c r="U293" s="618"/>
      <c r="Y293" s="619"/>
    </row>
    <row r="294" spans="1:25" x14ac:dyDescent="0.2">
      <c r="A294" s="615"/>
      <c r="B294" s="615"/>
      <c r="C294" s="615"/>
      <c r="D294" s="615"/>
      <c r="E294" s="615"/>
      <c r="F294" s="627"/>
      <c r="G294" s="627"/>
      <c r="H294" s="627"/>
      <c r="I294" s="628"/>
      <c r="J294" s="629"/>
      <c r="K294" s="629"/>
      <c r="L294" s="629"/>
      <c r="M294" s="629"/>
      <c r="N294" s="629"/>
      <c r="O294" s="618"/>
      <c r="P294" s="618"/>
      <c r="Q294" s="618"/>
      <c r="R294" s="618"/>
      <c r="S294" s="618"/>
      <c r="T294" s="618"/>
      <c r="U294" s="618"/>
      <c r="Y294" s="619"/>
    </row>
    <row r="295" spans="1:25" x14ac:dyDescent="0.2">
      <c r="A295" s="615"/>
      <c r="B295" s="615"/>
      <c r="C295" s="615"/>
      <c r="D295" s="615"/>
      <c r="E295" s="615"/>
      <c r="F295" s="627"/>
      <c r="G295" s="627"/>
      <c r="H295" s="627"/>
      <c r="I295" s="628"/>
      <c r="J295" s="629"/>
      <c r="K295" s="629"/>
      <c r="L295" s="629"/>
      <c r="M295" s="629"/>
      <c r="N295" s="629"/>
      <c r="O295" s="618"/>
      <c r="P295" s="618"/>
      <c r="Q295" s="618"/>
      <c r="R295" s="618"/>
      <c r="S295" s="618"/>
      <c r="T295" s="618"/>
      <c r="U295" s="618"/>
      <c r="Y295" s="619"/>
    </row>
    <row r="296" spans="1:25" x14ac:dyDescent="0.2">
      <c r="A296" s="615"/>
      <c r="B296" s="615"/>
      <c r="C296" s="615"/>
      <c r="D296" s="615"/>
      <c r="E296" s="615"/>
      <c r="F296" s="627"/>
      <c r="G296" s="627"/>
      <c r="H296" s="627"/>
      <c r="I296" s="628"/>
      <c r="J296" s="629"/>
      <c r="K296" s="629"/>
      <c r="L296" s="629"/>
      <c r="M296" s="629"/>
      <c r="N296" s="629"/>
      <c r="O296" s="618"/>
      <c r="P296" s="618"/>
      <c r="Q296" s="618"/>
      <c r="R296" s="618"/>
      <c r="S296" s="618"/>
      <c r="T296" s="618"/>
      <c r="U296" s="618"/>
      <c r="Y296" s="619"/>
    </row>
    <row r="297" spans="1:25" x14ac:dyDescent="0.2">
      <c r="A297" s="615"/>
      <c r="B297" s="615"/>
      <c r="C297" s="615"/>
      <c r="D297" s="615"/>
      <c r="E297" s="615"/>
      <c r="F297" s="627"/>
      <c r="G297" s="627"/>
      <c r="H297" s="627"/>
      <c r="I297" s="628"/>
      <c r="J297" s="629"/>
      <c r="K297" s="629"/>
      <c r="L297" s="629"/>
      <c r="M297" s="629"/>
      <c r="N297" s="629"/>
      <c r="O297" s="618"/>
      <c r="P297" s="618"/>
      <c r="Q297" s="618"/>
      <c r="R297" s="618"/>
      <c r="S297" s="618"/>
      <c r="T297" s="618"/>
      <c r="U297" s="618"/>
      <c r="Y297" s="619"/>
    </row>
    <row r="298" spans="1:25" x14ac:dyDescent="0.2">
      <c r="A298" s="615"/>
      <c r="B298" s="615"/>
      <c r="C298" s="615"/>
      <c r="D298" s="615"/>
      <c r="E298" s="615"/>
      <c r="F298" s="627"/>
      <c r="G298" s="627"/>
      <c r="H298" s="627"/>
      <c r="I298" s="628"/>
      <c r="J298" s="629"/>
      <c r="K298" s="629"/>
      <c r="L298" s="629"/>
      <c r="M298" s="629"/>
      <c r="N298" s="629"/>
      <c r="O298" s="618"/>
      <c r="P298" s="618"/>
      <c r="Q298" s="618"/>
      <c r="R298" s="618"/>
      <c r="S298" s="618"/>
      <c r="T298" s="618"/>
      <c r="U298" s="618"/>
      <c r="Y298" s="619"/>
    </row>
    <row r="299" spans="1:25" x14ac:dyDescent="0.2">
      <c r="A299" s="615"/>
      <c r="B299" s="615"/>
      <c r="C299" s="615"/>
      <c r="D299" s="615"/>
      <c r="E299" s="615"/>
      <c r="F299" s="627"/>
      <c r="G299" s="627"/>
      <c r="H299" s="627"/>
      <c r="I299" s="628"/>
      <c r="J299" s="629"/>
      <c r="K299" s="629"/>
      <c r="L299" s="629"/>
      <c r="M299" s="629"/>
      <c r="N299" s="629"/>
      <c r="O299" s="618"/>
      <c r="P299" s="618"/>
      <c r="Q299" s="618"/>
      <c r="R299" s="618"/>
      <c r="S299" s="618"/>
      <c r="T299" s="618"/>
      <c r="U299" s="618"/>
      <c r="Y299" s="619"/>
    </row>
    <row r="300" spans="1:25" x14ac:dyDescent="0.2">
      <c r="A300" s="615"/>
      <c r="B300" s="615"/>
      <c r="C300" s="615"/>
      <c r="D300" s="615"/>
      <c r="E300" s="615"/>
      <c r="F300" s="627"/>
      <c r="G300" s="627"/>
      <c r="H300" s="627"/>
      <c r="I300" s="628"/>
      <c r="J300" s="629"/>
      <c r="K300" s="629"/>
      <c r="L300" s="629"/>
      <c r="M300" s="629"/>
      <c r="N300" s="629"/>
      <c r="O300" s="618"/>
      <c r="P300" s="618"/>
      <c r="Q300" s="618"/>
      <c r="R300" s="618"/>
      <c r="S300" s="618"/>
      <c r="T300" s="618"/>
      <c r="U300" s="618"/>
      <c r="Y300" s="619"/>
    </row>
    <row r="301" spans="1:25" x14ac:dyDescent="0.2">
      <c r="A301" s="615"/>
      <c r="B301" s="615"/>
      <c r="C301" s="615"/>
      <c r="D301" s="615"/>
      <c r="E301" s="615"/>
      <c r="F301" s="627"/>
      <c r="G301" s="627"/>
      <c r="H301" s="627"/>
      <c r="I301" s="628"/>
      <c r="J301" s="629"/>
      <c r="K301" s="629"/>
      <c r="L301" s="629"/>
      <c r="M301" s="629"/>
      <c r="N301" s="629"/>
      <c r="O301" s="618"/>
      <c r="P301" s="618"/>
      <c r="Q301" s="618"/>
      <c r="R301" s="618"/>
      <c r="S301" s="618"/>
      <c r="T301" s="618"/>
      <c r="U301" s="618"/>
      <c r="Y301" s="619"/>
    </row>
    <row r="302" spans="1:25" x14ac:dyDescent="0.2">
      <c r="A302" s="615"/>
      <c r="B302" s="615"/>
      <c r="C302" s="615"/>
      <c r="D302" s="615"/>
      <c r="E302" s="615"/>
      <c r="F302" s="627"/>
      <c r="G302" s="627"/>
      <c r="H302" s="627"/>
      <c r="I302" s="628"/>
      <c r="J302" s="629"/>
      <c r="K302" s="629"/>
      <c r="L302" s="629"/>
      <c r="M302" s="629"/>
      <c r="N302" s="629"/>
      <c r="O302" s="618"/>
      <c r="P302" s="618"/>
      <c r="Q302" s="618"/>
      <c r="R302" s="618"/>
      <c r="S302" s="618"/>
      <c r="T302" s="618"/>
      <c r="U302" s="618"/>
      <c r="Y302" s="619"/>
    </row>
    <row r="303" spans="1:25" x14ac:dyDescent="0.2">
      <c r="A303" s="615"/>
      <c r="B303" s="615"/>
      <c r="C303" s="615"/>
      <c r="D303" s="615"/>
      <c r="E303" s="615"/>
      <c r="F303" s="627"/>
      <c r="G303" s="627"/>
      <c r="H303" s="627"/>
      <c r="I303" s="628"/>
      <c r="J303" s="629"/>
      <c r="K303" s="629"/>
      <c r="L303" s="629"/>
      <c r="M303" s="629"/>
      <c r="N303" s="629"/>
      <c r="O303" s="618"/>
      <c r="P303" s="618"/>
      <c r="Q303" s="618"/>
      <c r="R303" s="618"/>
      <c r="S303" s="618"/>
      <c r="T303" s="618"/>
      <c r="U303" s="618"/>
      <c r="Y303" s="619"/>
    </row>
    <row r="304" spans="1:25" x14ac:dyDescent="0.2">
      <c r="A304" s="615"/>
      <c r="B304" s="615"/>
      <c r="C304" s="615"/>
      <c r="D304" s="615"/>
      <c r="E304" s="615"/>
      <c r="F304" s="627"/>
      <c r="G304" s="627"/>
      <c r="H304" s="627"/>
      <c r="I304" s="628"/>
      <c r="J304" s="629"/>
      <c r="K304" s="629"/>
      <c r="L304" s="629"/>
      <c r="M304" s="629"/>
      <c r="N304" s="629"/>
      <c r="O304" s="618"/>
      <c r="P304" s="618"/>
      <c r="Q304" s="618"/>
      <c r="R304" s="618"/>
      <c r="S304" s="618"/>
      <c r="T304" s="618"/>
      <c r="U304" s="618"/>
      <c r="Y304" s="619"/>
    </row>
    <row r="305" spans="1:25" x14ac:dyDescent="0.2">
      <c r="A305" s="615"/>
      <c r="B305" s="615"/>
      <c r="C305" s="615"/>
      <c r="D305" s="615"/>
      <c r="E305" s="615"/>
      <c r="F305" s="627"/>
      <c r="G305" s="627"/>
      <c r="H305" s="627"/>
      <c r="I305" s="628"/>
      <c r="J305" s="629"/>
      <c r="K305" s="629"/>
      <c r="L305" s="629"/>
      <c r="M305" s="629"/>
      <c r="N305" s="629"/>
      <c r="O305" s="618"/>
      <c r="P305" s="618"/>
      <c r="Q305" s="618"/>
      <c r="R305" s="618"/>
      <c r="S305" s="618"/>
      <c r="T305" s="618"/>
      <c r="U305" s="618"/>
      <c r="Y305" s="619"/>
    </row>
    <row r="306" spans="1:25" x14ac:dyDescent="0.2">
      <c r="A306" s="615"/>
      <c r="B306" s="615"/>
      <c r="C306" s="615"/>
      <c r="D306" s="615"/>
      <c r="E306" s="615"/>
      <c r="F306" s="627"/>
      <c r="G306" s="627"/>
      <c r="H306" s="627"/>
      <c r="I306" s="628"/>
      <c r="J306" s="629"/>
      <c r="K306" s="629"/>
      <c r="L306" s="629"/>
      <c r="M306" s="629"/>
      <c r="N306" s="629"/>
      <c r="O306" s="618"/>
      <c r="P306" s="618"/>
      <c r="Q306" s="618"/>
      <c r="R306" s="618"/>
      <c r="S306" s="618"/>
      <c r="T306" s="618"/>
      <c r="U306" s="618"/>
      <c r="Y306" s="619"/>
    </row>
    <row r="307" spans="1:25" x14ac:dyDescent="0.2">
      <c r="A307" s="615"/>
      <c r="B307" s="615"/>
      <c r="C307" s="615"/>
      <c r="D307" s="615"/>
      <c r="E307" s="615"/>
      <c r="F307" s="627"/>
      <c r="G307" s="627"/>
      <c r="H307" s="627"/>
      <c r="I307" s="628"/>
      <c r="J307" s="629"/>
      <c r="K307" s="629"/>
      <c r="L307" s="629"/>
      <c r="M307" s="629"/>
      <c r="N307" s="629"/>
      <c r="O307" s="618"/>
      <c r="P307" s="618"/>
      <c r="Q307" s="618"/>
      <c r="R307" s="618"/>
      <c r="S307" s="618"/>
      <c r="T307" s="618"/>
      <c r="U307" s="618"/>
      <c r="Y307" s="619"/>
    </row>
    <row r="308" spans="1:25" x14ac:dyDescent="0.2">
      <c r="A308" s="615"/>
      <c r="B308" s="615"/>
      <c r="C308" s="615"/>
      <c r="D308" s="615"/>
      <c r="E308" s="615"/>
      <c r="F308" s="627"/>
      <c r="G308" s="627"/>
      <c r="H308" s="627"/>
      <c r="I308" s="628"/>
      <c r="J308" s="629"/>
      <c r="K308" s="629"/>
      <c r="L308" s="629"/>
      <c r="M308" s="629"/>
      <c r="N308" s="629"/>
      <c r="O308" s="618"/>
      <c r="P308" s="618"/>
      <c r="Q308" s="618"/>
      <c r="R308" s="618"/>
      <c r="S308" s="618"/>
      <c r="T308" s="618"/>
      <c r="U308" s="618"/>
      <c r="Y308" s="619"/>
    </row>
    <row r="309" spans="1:25" x14ac:dyDescent="0.2">
      <c r="A309" s="615"/>
      <c r="B309" s="615"/>
      <c r="C309" s="615"/>
      <c r="D309" s="615"/>
      <c r="E309" s="615"/>
      <c r="F309" s="627"/>
      <c r="G309" s="627"/>
      <c r="H309" s="627"/>
      <c r="I309" s="628"/>
      <c r="J309" s="629"/>
      <c r="K309" s="629"/>
      <c r="L309" s="629"/>
      <c r="M309" s="629"/>
      <c r="N309" s="629"/>
      <c r="O309" s="618"/>
      <c r="P309" s="618"/>
      <c r="Q309" s="618"/>
      <c r="R309" s="618"/>
      <c r="S309" s="618"/>
      <c r="T309" s="618"/>
      <c r="U309" s="618"/>
      <c r="Y309" s="619"/>
    </row>
    <row r="310" spans="1:25" x14ac:dyDescent="0.2">
      <c r="A310" s="615"/>
      <c r="B310" s="615"/>
      <c r="C310" s="615"/>
      <c r="D310" s="615"/>
      <c r="E310" s="615"/>
      <c r="F310" s="627"/>
      <c r="G310" s="627"/>
      <c r="H310" s="627"/>
      <c r="I310" s="628"/>
      <c r="J310" s="629"/>
      <c r="K310" s="629"/>
      <c r="L310" s="629"/>
      <c r="M310" s="629"/>
      <c r="N310" s="629"/>
      <c r="O310" s="618"/>
      <c r="P310" s="618"/>
      <c r="Q310" s="618"/>
      <c r="R310" s="618"/>
      <c r="S310" s="618"/>
      <c r="T310" s="618"/>
      <c r="U310" s="618"/>
      <c r="Y310" s="619"/>
    </row>
    <row r="311" spans="1:25" x14ac:dyDescent="0.2">
      <c r="A311" s="615"/>
      <c r="B311" s="615"/>
      <c r="C311" s="615"/>
      <c r="D311" s="615"/>
      <c r="E311" s="615"/>
      <c r="F311" s="627"/>
      <c r="G311" s="627"/>
      <c r="H311" s="627"/>
      <c r="I311" s="628"/>
      <c r="J311" s="629"/>
      <c r="K311" s="629"/>
      <c r="L311" s="629"/>
      <c r="M311" s="629"/>
      <c r="N311" s="629"/>
      <c r="O311" s="618"/>
      <c r="P311" s="618"/>
      <c r="Q311" s="618"/>
      <c r="R311" s="618"/>
      <c r="S311" s="618"/>
      <c r="T311" s="618"/>
      <c r="U311" s="618"/>
      <c r="Y311" s="619"/>
    </row>
    <row r="312" spans="1:25" x14ac:dyDescent="0.2">
      <c r="A312" s="615"/>
      <c r="B312" s="615"/>
      <c r="C312" s="615"/>
      <c r="D312" s="615"/>
      <c r="E312" s="615"/>
      <c r="F312" s="627"/>
      <c r="G312" s="627"/>
      <c r="H312" s="627"/>
      <c r="I312" s="628"/>
      <c r="J312" s="629"/>
      <c r="K312" s="629"/>
      <c r="L312" s="629"/>
      <c r="M312" s="629"/>
      <c r="N312" s="629"/>
      <c r="O312" s="618"/>
      <c r="P312" s="618"/>
      <c r="Q312" s="618"/>
      <c r="R312" s="618"/>
      <c r="S312" s="618"/>
      <c r="T312" s="618"/>
      <c r="U312" s="618"/>
      <c r="Y312" s="619"/>
    </row>
    <row r="313" spans="1:25" x14ac:dyDescent="0.2">
      <c r="A313" s="615"/>
      <c r="B313" s="615"/>
      <c r="C313" s="615"/>
      <c r="D313" s="615"/>
      <c r="E313" s="615"/>
      <c r="F313" s="627"/>
      <c r="G313" s="627"/>
      <c r="H313" s="627"/>
      <c r="I313" s="628"/>
      <c r="J313" s="629"/>
      <c r="K313" s="629"/>
      <c r="L313" s="629"/>
      <c r="M313" s="629"/>
      <c r="N313" s="629"/>
      <c r="O313" s="618"/>
      <c r="P313" s="618"/>
      <c r="Q313" s="618"/>
      <c r="R313" s="618"/>
      <c r="S313" s="618"/>
      <c r="T313" s="618"/>
      <c r="U313" s="618"/>
      <c r="Y313" s="619"/>
    </row>
    <row r="314" spans="1:25" x14ac:dyDescent="0.2">
      <c r="A314" s="615"/>
      <c r="B314" s="615"/>
      <c r="C314" s="615"/>
      <c r="D314" s="615"/>
      <c r="E314" s="615"/>
      <c r="F314" s="627"/>
      <c r="G314" s="627"/>
      <c r="H314" s="627"/>
      <c r="I314" s="628"/>
      <c r="J314" s="629"/>
      <c r="K314" s="629"/>
      <c r="L314" s="629"/>
      <c r="M314" s="629"/>
      <c r="N314" s="629"/>
      <c r="O314" s="618"/>
      <c r="P314" s="618"/>
      <c r="Q314" s="618"/>
      <c r="R314" s="618"/>
      <c r="S314" s="618"/>
      <c r="T314" s="618"/>
      <c r="U314" s="618"/>
      <c r="Y314" s="619"/>
    </row>
    <row r="315" spans="1:25" x14ac:dyDescent="0.2">
      <c r="A315" s="615"/>
      <c r="B315" s="615"/>
      <c r="C315" s="615"/>
      <c r="D315" s="615"/>
      <c r="E315" s="615"/>
      <c r="F315" s="627"/>
      <c r="G315" s="627"/>
      <c r="H315" s="627"/>
      <c r="I315" s="628"/>
      <c r="J315" s="629"/>
      <c r="K315" s="629"/>
      <c r="L315" s="629"/>
      <c r="M315" s="629"/>
      <c r="N315" s="629"/>
      <c r="O315" s="618"/>
      <c r="P315" s="618"/>
      <c r="Q315" s="618"/>
      <c r="R315" s="618"/>
      <c r="S315" s="618"/>
      <c r="T315" s="618"/>
      <c r="U315" s="618"/>
      <c r="Y315" s="619"/>
    </row>
    <row r="316" spans="1:25" x14ac:dyDescent="0.2">
      <c r="A316" s="615"/>
      <c r="B316" s="615"/>
      <c r="C316" s="615"/>
      <c r="D316" s="615"/>
      <c r="E316" s="615"/>
      <c r="F316" s="627"/>
      <c r="G316" s="627"/>
      <c r="H316" s="627"/>
      <c r="I316" s="628"/>
      <c r="J316" s="629"/>
      <c r="K316" s="629"/>
      <c r="L316" s="629"/>
      <c r="M316" s="629"/>
      <c r="N316" s="629"/>
      <c r="O316" s="618"/>
      <c r="P316" s="618"/>
      <c r="Q316" s="618"/>
      <c r="R316" s="618"/>
      <c r="S316" s="618"/>
      <c r="T316" s="618"/>
      <c r="U316" s="618"/>
      <c r="Y316" s="619"/>
    </row>
    <row r="317" spans="1:25" x14ac:dyDescent="0.2">
      <c r="A317" s="615"/>
      <c r="B317" s="615"/>
      <c r="C317" s="615"/>
      <c r="D317" s="615"/>
      <c r="E317" s="615"/>
      <c r="F317" s="627"/>
      <c r="G317" s="627"/>
      <c r="H317" s="627"/>
      <c r="I317" s="628"/>
      <c r="J317" s="629"/>
      <c r="K317" s="629"/>
      <c r="L317" s="629"/>
      <c r="M317" s="629"/>
      <c r="N317" s="629"/>
      <c r="O317" s="618"/>
      <c r="P317" s="618"/>
      <c r="Q317" s="618"/>
      <c r="R317" s="618"/>
      <c r="S317" s="618"/>
      <c r="T317" s="618"/>
      <c r="U317" s="618"/>
      <c r="Y317" s="619"/>
    </row>
    <row r="318" spans="1:25" x14ac:dyDescent="0.2">
      <c r="A318" s="615"/>
      <c r="B318" s="615"/>
      <c r="C318" s="615"/>
      <c r="D318" s="615"/>
      <c r="E318" s="615"/>
      <c r="F318" s="627"/>
      <c r="G318" s="627"/>
      <c r="H318" s="627"/>
      <c r="I318" s="628"/>
      <c r="J318" s="629"/>
      <c r="K318" s="629"/>
      <c r="L318" s="629"/>
      <c r="M318" s="629"/>
      <c r="N318" s="629"/>
      <c r="O318" s="618"/>
      <c r="P318" s="618"/>
      <c r="Q318" s="618"/>
      <c r="R318" s="618"/>
      <c r="S318" s="618"/>
      <c r="T318" s="618"/>
      <c r="U318" s="618"/>
      <c r="Y318" s="619"/>
    </row>
    <row r="319" spans="1:25" x14ac:dyDescent="0.2">
      <c r="A319" s="615"/>
      <c r="B319" s="615"/>
      <c r="C319" s="615"/>
      <c r="D319" s="615"/>
      <c r="E319" s="615"/>
      <c r="F319" s="627"/>
      <c r="G319" s="627"/>
      <c r="H319" s="627"/>
      <c r="I319" s="628"/>
      <c r="J319" s="629"/>
      <c r="K319" s="629"/>
      <c r="L319" s="629"/>
      <c r="M319" s="629"/>
      <c r="N319" s="629"/>
      <c r="O319" s="618"/>
      <c r="P319" s="618"/>
      <c r="Q319" s="618"/>
      <c r="R319" s="618"/>
      <c r="S319" s="618"/>
      <c r="T319" s="618"/>
      <c r="U319" s="618"/>
      <c r="Y319" s="619"/>
    </row>
    <row r="320" spans="1:25" x14ac:dyDescent="0.2">
      <c r="A320" s="615"/>
      <c r="B320" s="615"/>
      <c r="C320" s="615"/>
      <c r="D320" s="615"/>
      <c r="E320" s="615"/>
      <c r="F320" s="627"/>
      <c r="G320" s="627"/>
      <c r="H320" s="627"/>
      <c r="I320" s="628"/>
      <c r="J320" s="629"/>
      <c r="K320" s="629"/>
      <c r="L320" s="629"/>
      <c r="M320" s="629"/>
      <c r="N320" s="629"/>
      <c r="O320" s="618"/>
      <c r="P320" s="618"/>
      <c r="Q320" s="618"/>
      <c r="R320" s="618"/>
      <c r="S320" s="618"/>
      <c r="T320" s="618"/>
      <c r="U320" s="618"/>
      <c r="Y320" s="619"/>
    </row>
    <row r="321" spans="1:25" x14ac:dyDescent="0.2">
      <c r="A321" s="615"/>
      <c r="B321" s="615"/>
      <c r="C321" s="615"/>
      <c r="D321" s="615"/>
      <c r="E321" s="615"/>
      <c r="F321" s="627"/>
      <c r="G321" s="627"/>
      <c r="H321" s="627"/>
      <c r="I321" s="628"/>
      <c r="J321" s="629"/>
      <c r="K321" s="629"/>
      <c r="L321" s="629"/>
      <c r="M321" s="629"/>
      <c r="N321" s="629"/>
      <c r="O321" s="618"/>
      <c r="P321" s="618"/>
      <c r="Q321" s="618"/>
      <c r="R321" s="618"/>
      <c r="S321" s="618"/>
      <c r="T321" s="618"/>
      <c r="U321" s="618"/>
      <c r="Y321" s="619"/>
    </row>
    <row r="322" spans="1:25" x14ac:dyDescent="0.2">
      <c r="A322" s="615"/>
      <c r="B322" s="615"/>
      <c r="C322" s="615"/>
      <c r="D322" s="615"/>
      <c r="E322" s="615"/>
      <c r="F322" s="627"/>
      <c r="G322" s="627"/>
      <c r="H322" s="627"/>
      <c r="I322" s="628"/>
      <c r="J322" s="629"/>
      <c r="K322" s="629"/>
      <c r="L322" s="629"/>
      <c r="M322" s="629"/>
      <c r="N322" s="629"/>
      <c r="O322" s="618"/>
      <c r="P322" s="618"/>
      <c r="Q322" s="618"/>
      <c r="R322" s="618"/>
      <c r="S322" s="618"/>
      <c r="T322" s="618"/>
      <c r="U322" s="618"/>
      <c r="Y322" s="619"/>
    </row>
    <row r="323" spans="1:25" x14ac:dyDescent="0.2">
      <c r="A323" s="615"/>
      <c r="B323" s="615"/>
      <c r="C323" s="615"/>
      <c r="D323" s="615"/>
      <c r="E323" s="615"/>
      <c r="F323" s="627"/>
      <c r="G323" s="627"/>
      <c r="H323" s="627"/>
      <c r="I323" s="628"/>
      <c r="J323" s="629"/>
      <c r="K323" s="629"/>
      <c r="L323" s="629"/>
      <c r="M323" s="629"/>
      <c r="N323" s="629"/>
      <c r="O323" s="618"/>
      <c r="P323" s="618"/>
      <c r="Q323" s="618"/>
      <c r="R323" s="618"/>
      <c r="S323" s="618"/>
      <c r="T323" s="618"/>
      <c r="U323" s="618"/>
      <c r="Y323" s="619"/>
    </row>
    <row r="324" spans="1:25" x14ac:dyDescent="0.2">
      <c r="A324" s="615"/>
      <c r="B324" s="615"/>
      <c r="C324" s="615"/>
      <c r="D324" s="615"/>
      <c r="E324" s="615"/>
      <c r="F324" s="627"/>
      <c r="G324" s="627"/>
      <c r="H324" s="627"/>
      <c r="I324" s="628"/>
      <c r="J324" s="629"/>
      <c r="K324" s="629"/>
      <c r="L324" s="629"/>
      <c r="M324" s="629"/>
      <c r="N324" s="629"/>
      <c r="O324" s="618"/>
      <c r="P324" s="618"/>
      <c r="Q324" s="618"/>
      <c r="R324" s="618"/>
      <c r="S324" s="618"/>
      <c r="T324" s="618"/>
      <c r="U324" s="618"/>
      <c r="Y324" s="619"/>
    </row>
    <row r="325" spans="1:25" x14ac:dyDescent="0.2">
      <c r="A325" s="615"/>
      <c r="B325" s="615"/>
      <c r="C325" s="615"/>
      <c r="D325" s="615"/>
      <c r="E325" s="615"/>
      <c r="F325" s="627"/>
      <c r="G325" s="627"/>
      <c r="H325" s="627"/>
      <c r="I325" s="628"/>
      <c r="J325" s="629"/>
      <c r="K325" s="629"/>
      <c r="L325" s="629"/>
      <c r="M325" s="629"/>
      <c r="N325" s="629"/>
      <c r="O325" s="618"/>
      <c r="P325" s="618"/>
      <c r="Q325" s="618"/>
      <c r="R325" s="618"/>
      <c r="S325" s="618"/>
      <c r="T325" s="618"/>
      <c r="U325" s="618"/>
      <c r="Y325" s="619"/>
    </row>
    <row r="326" spans="1:25" x14ac:dyDescent="0.2">
      <c r="A326" s="615"/>
      <c r="B326" s="615"/>
      <c r="C326" s="615"/>
      <c r="D326" s="615"/>
      <c r="E326" s="615"/>
      <c r="F326" s="627"/>
      <c r="G326" s="627"/>
      <c r="H326" s="627"/>
      <c r="I326" s="628"/>
      <c r="J326" s="629"/>
      <c r="K326" s="629"/>
      <c r="L326" s="629"/>
      <c r="M326" s="629"/>
      <c r="N326" s="629"/>
      <c r="O326" s="618"/>
      <c r="P326" s="618"/>
      <c r="Q326" s="618"/>
      <c r="R326" s="618"/>
      <c r="S326" s="618"/>
      <c r="T326" s="618"/>
      <c r="U326" s="618"/>
      <c r="Y326" s="619"/>
    </row>
    <row r="327" spans="1:25" x14ac:dyDescent="0.2">
      <c r="A327" s="615"/>
      <c r="B327" s="615"/>
      <c r="C327" s="615"/>
      <c r="D327" s="615"/>
      <c r="E327" s="615"/>
      <c r="F327" s="627"/>
      <c r="G327" s="627"/>
      <c r="H327" s="627"/>
      <c r="I327" s="628"/>
      <c r="J327" s="629"/>
      <c r="K327" s="629"/>
      <c r="L327" s="629"/>
      <c r="M327" s="629"/>
      <c r="N327" s="629"/>
      <c r="O327" s="618"/>
      <c r="P327" s="618"/>
      <c r="Q327" s="618"/>
      <c r="R327" s="618"/>
      <c r="S327" s="618"/>
      <c r="T327" s="618"/>
      <c r="U327" s="618"/>
      <c r="Y327" s="619"/>
    </row>
    <row r="328" spans="1:25" x14ac:dyDescent="0.2">
      <c r="A328" s="615"/>
      <c r="B328" s="615"/>
      <c r="C328" s="615"/>
      <c r="D328" s="615"/>
      <c r="E328" s="615"/>
      <c r="F328" s="627"/>
      <c r="G328" s="627"/>
      <c r="H328" s="627"/>
      <c r="I328" s="628"/>
      <c r="J328" s="629"/>
      <c r="K328" s="629"/>
      <c r="L328" s="629"/>
      <c r="M328" s="629"/>
      <c r="N328" s="629"/>
      <c r="O328" s="618"/>
      <c r="P328" s="618"/>
      <c r="Q328" s="618"/>
      <c r="R328" s="618"/>
      <c r="S328" s="618"/>
      <c r="T328" s="618"/>
      <c r="U328" s="618"/>
      <c r="Y328" s="619"/>
    </row>
    <row r="329" spans="1:25" x14ac:dyDescent="0.2">
      <c r="A329" s="615"/>
      <c r="B329" s="615"/>
      <c r="C329" s="615"/>
      <c r="D329" s="615"/>
      <c r="E329" s="615"/>
      <c r="F329" s="627"/>
      <c r="G329" s="627"/>
      <c r="H329" s="627"/>
      <c r="I329" s="628"/>
      <c r="J329" s="629"/>
      <c r="K329" s="629"/>
      <c r="L329" s="629"/>
      <c r="M329" s="629"/>
      <c r="N329" s="629"/>
      <c r="O329" s="618"/>
      <c r="P329" s="618"/>
      <c r="Q329" s="618"/>
      <c r="R329" s="618"/>
      <c r="S329" s="618"/>
      <c r="T329" s="618"/>
      <c r="U329" s="618"/>
      <c r="Y329" s="619"/>
    </row>
    <row r="330" spans="1:25" x14ac:dyDescent="0.2">
      <c r="A330" s="615"/>
      <c r="B330" s="615"/>
      <c r="C330" s="615"/>
      <c r="D330" s="615"/>
      <c r="E330" s="615"/>
      <c r="F330" s="627"/>
      <c r="G330" s="627"/>
      <c r="H330" s="627"/>
      <c r="I330" s="628"/>
      <c r="J330" s="629"/>
      <c r="K330" s="629"/>
      <c r="L330" s="629"/>
      <c r="M330" s="629"/>
      <c r="N330" s="629"/>
      <c r="O330" s="618"/>
      <c r="P330" s="618"/>
      <c r="Q330" s="618"/>
      <c r="R330" s="618"/>
      <c r="S330" s="618"/>
      <c r="T330" s="618"/>
      <c r="U330" s="618"/>
      <c r="Y330" s="619"/>
    </row>
    <row r="331" spans="1:25" x14ac:dyDescent="0.2">
      <c r="A331" s="615"/>
      <c r="B331" s="615"/>
      <c r="C331" s="615"/>
      <c r="D331" s="615"/>
      <c r="E331" s="615"/>
      <c r="F331" s="627"/>
      <c r="G331" s="627"/>
      <c r="H331" s="627"/>
      <c r="I331" s="628"/>
      <c r="J331" s="629"/>
      <c r="K331" s="629"/>
      <c r="L331" s="629"/>
      <c r="M331" s="629"/>
      <c r="N331" s="629"/>
      <c r="O331" s="618"/>
      <c r="P331" s="618"/>
      <c r="Q331" s="618"/>
      <c r="R331" s="618"/>
      <c r="S331" s="618"/>
      <c r="T331" s="618"/>
      <c r="U331" s="618"/>
      <c r="Y331" s="619"/>
    </row>
    <row r="332" spans="1:25" x14ac:dyDescent="0.2">
      <c r="A332" s="615"/>
      <c r="B332" s="615"/>
      <c r="C332" s="615"/>
      <c r="D332" s="615"/>
      <c r="E332" s="615"/>
      <c r="F332" s="627"/>
      <c r="G332" s="627"/>
      <c r="H332" s="627"/>
      <c r="I332" s="628"/>
      <c r="J332" s="629"/>
      <c r="K332" s="629"/>
      <c r="L332" s="629"/>
      <c r="M332" s="629"/>
      <c r="N332" s="629"/>
      <c r="O332" s="618"/>
      <c r="P332" s="618"/>
      <c r="Q332" s="618"/>
      <c r="R332" s="618"/>
      <c r="S332" s="618"/>
      <c r="T332" s="618"/>
      <c r="U332" s="618"/>
      <c r="Y332" s="619"/>
    </row>
    <row r="333" spans="1:25" x14ac:dyDescent="0.2">
      <c r="A333" s="615"/>
      <c r="B333" s="615"/>
      <c r="C333" s="615"/>
      <c r="D333" s="615"/>
      <c r="E333" s="615"/>
      <c r="F333" s="627"/>
      <c r="G333" s="627"/>
      <c r="H333" s="627"/>
      <c r="I333" s="628"/>
      <c r="J333" s="629"/>
      <c r="K333" s="629"/>
      <c r="L333" s="629"/>
      <c r="M333" s="629"/>
      <c r="N333" s="629"/>
      <c r="O333" s="618"/>
      <c r="P333" s="618"/>
      <c r="Q333" s="618"/>
      <c r="R333" s="618"/>
      <c r="S333" s="618"/>
      <c r="T333" s="618"/>
      <c r="U333" s="618"/>
      <c r="Y333" s="619"/>
    </row>
    <row r="334" spans="1:25" x14ac:dyDescent="0.2">
      <c r="A334" s="615"/>
      <c r="B334" s="615"/>
      <c r="C334" s="615"/>
      <c r="D334" s="615"/>
      <c r="E334" s="615"/>
      <c r="F334" s="627"/>
      <c r="G334" s="627"/>
      <c r="H334" s="627"/>
      <c r="I334" s="628"/>
      <c r="J334" s="629"/>
      <c r="K334" s="629"/>
      <c r="L334" s="629"/>
      <c r="M334" s="629"/>
      <c r="N334" s="629"/>
      <c r="O334" s="618"/>
      <c r="P334" s="618"/>
      <c r="Q334" s="618"/>
      <c r="R334" s="618"/>
      <c r="S334" s="618"/>
      <c r="T334" s="618"/>
      <c r="U334" s="618"/>
      <c r="Y334" s="619"/>
    </row>
    <row r="335" spans="1:25" x14ac:dyDescent="0.2">
      <c r="A335" s="615"/>
      <c r="B335" s="615"/>
      <c r="C335" s="615"/>
      <c r="D335" s="615"/>
      <c r="E335" s="615"/>
      <c r="F335" s="627"/>
      <c r="G335" s="627"/>
      <c r="H335" s="627"/>
      <c r="I335" s="628"/>
      <c r="J335" s="629"/>
      <c r="K335" s="629"/>
      <c r="L335" s="629"/>
      <c r="M335" s="629"/>
      <c r="N335" s="629"/>
      <c r="O335" s="618"/>
      <c r="P335" s="618"/>
      <c r="Q335" s="618"/>
      <c r="R335" s="618"/>
      <c r="S335" s="618"/>
      <c r="T335" s="618"/>
      <c r="U335" s="618"/>
      <c r="Y335" s="619"/>
    </row>
    <row r="336" spans="1:25" x14ac:dyDescent="0.2">
      <c r="A336" s="615"/>
      <c r="B336" s="615"/>
      <c r="C336" s="615"/>
      <c r="D336" s="615"/>
      <c r="E336" s="615"/>
      <c r="F336" s="627"/>
      <c r="G336" s="627"/>
      <c r="H336" s="627"/>
      <c r="I336" s="628"/>
      <c r="J336" s="629"/>
      <c r="K336" s="629"/>
      <c r="L336" s="629"/>
      <c r="M336" s="629"/>
      <c r="N336" s="629"/>
      <c r="O336" s="618"/>
      <c r="P336" s="618"/>
      <c r="Q336" s="618"/>
      <c r="R336" s="618"/>
      <c r="S336" s="618"/>
      <c r="T336" s="618"/>
      <c r="U336" s="618"/>
      <c r="Y336" s="619"/>
    </row>
    <row r="337" spans="1:25" x14ac:dyDescent="0.2">
      <c r="A337" s="615"/>
      <c r="B337" s="615"/>
      <c r="C337" s="615"/>
      <c r="D337" s="615"/>
      <c r="E337" s="615"/>
      <c r="F337" s="627"/>
      <c r="G337" s="627"/>
      <c r="H337" s="627"/>
      <c r="I337" s="628"/>
      <c r="J337" s="629"/>
      <c r="K337" s="629"/>
      <c r="L337" s="629"/>
      <c r="M337" s="629"/>
      <c r="N337" s="629"/>
      <c r="O337" s="618"/>
      <c r="P337" s="618"/>
      <c r="Q337" s="618"/>
      <c r="R337" s="618"/>
      <c r="S337" s="618"/>
      <c r="T337" s="618"/>
      <c r="U337" s="618"/>
      <c r="Y337" s="619"/>
    </row>
    <row r="338" spans="1:25" x14ac:dyDescent="0.2">
      <c r="A338" s="615"/>
      <c r="B338" s="615"/>
      <c r="C338" s="615"/>
      <c r="D338" s="615"/>
      <c r="E338" s="615"/>
      <c r="F338" s="627"/>
      <c r="G338" s="627"/>
      <c r="H338" s="627"/>
      <c r="I338" s="628"/>
      <c r="J338" s="629"/>
      <c r="K338" s="629"/>
      <c r="L338" s="629"/>
      <c r="M338" s="629"/>
      <c r="N338" s="629"/>
      <c r="O338" s="618"/>
      <c r="P338" s="618"/>
      <c r="Q338" s="618"/>
      <c r="R338" s="618"/>
      <c r="S338" s="618"/>
      <c r="T338" s="618"/>
      <c r="U338" s="618"/>
      <c r="Y338" s="619"/>
    </row>
    <row r="339" spans="1:25" x14ac:dyDescent="0.2">
      <c r="A339" s="615"/>
      <c r="B339" s="615"/>
      <c r="C339" s="615"/>
      <c r="D339" s="615"/>
      <c r="E339" s="615"/>
      <c r="F339" s="627"/>
      <c r="G339" s="627"/>
      <c r="H339" s="627"/>
      <c r="I339" s="628"/>
      <c r="J339" s="629"/>
      <c r="K339" s="629"/>
      <c r="L339" s="629"/>
      <c r="M339" s="629"/>
      <c r="N339" s="629"/>
      <c r="O339" s="618"/>
      <c r="P339" s="618"/>
      <c r="Q339" s="618"/>
      <c r="R339" s="618"/>
      <c r="S339" s="618"/>
      <c r="T339" s="618"/>
      <c r="U339" s="618"/>
      <c r="Y339" s="619"/>
    </row>
    <row r="340" spans="1:25" x14ac:dyDescent="0.2">
      <c r="A340" s="615"/>
      <c r="B340" s="615"/>
      <c r="C340" s="615"/>
      <c r="D340" s="615"/>
      <c r="E340" s="615"/>
      <c r="F340" s="627"/>
      <c r="G340" s="627"/>
      <c r="H340" s="627"/>
      <c r="I340" s="628"/>
      <c r="J340" s="629"/>
      <c r="K340" s="629"/>
      <c r="L340" s="629"/>
      <c r="M340" s="629"/>
      <c r="N340" s="629"/>
      <c r="O340" s="618"/>
      <c r="P340" s="618"/>
      <c r="Q340" s="618"/>
      <c r="R340" s="618"/>
      <c r="S340" s="618"/>
      <c r="T340" s="618"/>
      <c r="U340" s="618"/>
      <c r="Y340" s="619"/>
    </row>
    <row r="341" spans="1:25" x14ac:dyDescent="0.2">
      <c r="A341" s="615"/>
      <c r="B341" s="615"/>
      <c r="C341" s="615"/>
      <c r="D341" s="615"/>
      <c r="E341" s="615"/>
      <c r="F341" s="627"/>
      <c r="G341" s="627"/>
      <c r="H341" s="627"/>
      <c r="I341" s="628"/>
      <c r="J341" s="629"/>
      <c r="K341" s="629"/>
      <c r="L341" s="629"/>
      <c r="M341" s="629"/>
      <c r="N341" s="629"/>
      <c r="O341" s="618"/>
      <c r="P341" s="618"/>
      <c r="Q341" s="618"/>
      <c r="R341" s="618"/>
      <c r="S341" s="618"/>
      <c r="T341" s="618"/>
      <c r="U341" s="618"/>
      <c r="Y341" s="619"/>
    </row>
    <row r="342" spans="1:25" x14ac:dyDescent="0.2">
      <c r="A342" s="615"/>
      <c r="B342" s="615"/>
      <c r="C342" s="615"/>
      <c r="D342" s="615"/>
      <c r="E342" s="615"/>
      <c r="F342" s="627"/>
      <c r="G342" s="627"/>
      <c r="H342" s="627"/>
      <c r="I342" s="628"/>
      <c r="J342" s="629"/>
      <c r="K342" s="629"/>
      <c r="L342" s="629"/>
      <c r="M342" s="629"/>
      <c r="N342" s="629"/>
      <c r="O342" s="618"/>
      <c r="P342" s="618"/>
      <c r="Q342" s="618"/>
      <c r="R342" s="618"/>
      <c r="S342" s="618"/>
      <c r="T342" s="618"/>
      <c r="U342" s="618"/>
      <c r="Y342" s="619"/>
    </row>
    <row r="343" spans="1:25" x14ac:dyDescent="0.2">
      <c r="A343" s="615"/>
      <c r="B343" s="615"/>
      <c r="C343" s="615"/>
      <c r="D343" s="615"/>
      <c r="E343" s="615"/>
      <c r="F343" s="627"/>
      <c r="G343" s="627"/>
      <c r="H343" s="627"/>
      <c r="I343" s="628"/>
      <c r="J343" s="629"/>
      <c r="K343" s="629"/>
      <c r="L343" s="629"/>
      <c r="M343" s="629"/>
      <c r="N343" s="629"/>
      <c r="O343" s="618"/>
      <c r="P343" s="618"/>
      <c r="Q343" s="618"/>
      <c r="R343" s="618"/>
      <c r="S343" s="618"/>
      <c r="T343" s="618"/>
      <c r="U343" s="618"/>
      <c r="Y343" s="619"/>
    </row>
    <row r="344" spans="1:25" x14ac:dyDescent="0.2">
      <c r="A344" s="615"/>
      <c r="B344" s="615"/>
      <c r="C344" s="615"/>
      <c r="D344" s="615"/>
      <c r="E344" s="615"/>
      <c r="F344" s="627"/>
      <c r="G344" s="627"/>
      <c r="H344" s="627"/>
      <c r="I344" s="628"/>
      <c r="J344" s="629"/>
      <c r="K344" s="629"/>
      <c r="L344" s="629"/>
      <c r="M344" s="629"/>
      <c r="N344" s="629"/>
      <c r="O344" s="618"/>
      <c r="P344" s="618"/>
      <c r="Q344" s="618"/>
      <c r="R344" s="618"/>
      <c r="S344" s="618"/>
      <c r="T344" s="618"/>
      <c r="U344" s="618"/>
      <c r="Y344" s="619"/>
    </row>
    <row r="345" spans="1:25" x14ac:dyDescent="0.2">
      <c r="A345" s="615"/>
      <c r="B345" s="615"/>
      <c r="C345" s="615"/>
      <c r="D345" s="615"/>
      <c r="E345" s="615"/>
      <c r="F345" s="627"/>
      <c r="G345" s="627"/>
      <c r="H345" s="627"/>
      <c r="I345" s="628"/>
      <c r="J345" s="629"/>
      <c r="K345" s="629"/>
      <c r="L345" s="629"/>
      <c r="M345" s="629"/>
      <c r="N345" s="629"/>
      <c r="O345" s="618"/>
      <c r="P345" s="618"/>
      <c r="Q345" s="618"/>
      <c r="R345" s="618"/>
      <c r="S345" s="618"/>
      <c r="T345" s="618"/>
      <c r="U345" s="618"/>
      <c r="Y345" s="619"/>
    </row>
    <row r="346" spans="1:25" x14ac:dyDescent="0.2">
      <c r="A346" s="615"/>
      <c r="B346" s="615"/>
      <c r="C346" s="615"/>
      <c r="D346" s="615"/>
      <c r="E346" s="615"/>
      <c r="F346" s="627"/>
      <c r="G346" s="627"/>
      <c r="H346" s="627"/>
      <c r="I346" s="628"/>
      <c r="J346" s="629"/>
      <c r="K346" s="629"/>
      <c r="L346" s="629"/>
      <c r="M346" s="629"/>
      <c r="N346" s="629"/>
      <c r="O346" s="618"/>
      <c r="P346" s="618"/>
      <c r="Q346" s="618"/>
      <c r="R346" s="618"/>
      <c r="S346" s="618"/>
      <c r="T346" s="618"/>
      <c r="U346" s="618"/>
      <c r="Y346" s="619"/>
    </row>
    <row r="347" spans="1:25" x14ac:dyDescent="0.2">
      <c r="A347" s="615"/>
      <c r="B347" s="615"/>
      <c r="C347" s="615"/>
      <c r="D347" s="615"/>
      <c r="E347" s="615"/>
      <c r="F347" s="627"/>
      <c r="G347" s="627"/>
      <c r="H347" s="627"/>
      <c r="I347" s="628"/>
      <c r="J347" s="629"/>
      <c r="K347" s="629"/>
      <c r="L347" s="629"/>
      <c r="M347" s="629"/>
      <c r="N347" s="629"/>
      <c r="O347" s="618"/>
      <c r="P347" s="618"/>
      <c r="Q347" s="618"/>
      <c r="R347" s="618"/>
      <c r="S347" s="618"/>
      <c r="T347" s="618"/>
      <c r="U347" s="618"/>
      <c r="Y347" s="619"/>
    </row>
    <row r="348" spans="1:25" x14ac:dyDescent="0.2">
      <c r="A348" s="615"/>
      <c r="B348" s="615"/>
      <c r="C348" s="615"/>
      <c r="D348" s="615"/>
      <c r="E348" s="615"/>
      <c r="F348" s="627"/>
      <c r="G348" s="627"/>
      <c r="H348" s="627"/>
      <c r="I348" s="628"/>
      <c r="J348" s="629"/>
      <c r="K348" s="629"/>
      <c r="L348" s="629"/>
      <c r="M348" s="629"/>
      <c r="N348" s="629"/>
      <c r="O348" s="618"/>
      <c r="P348" s="618"/>
      <c r="Q348" s="618"/>
      <c r="R348" s="618"/>
      <c r="S348" s="618"/>
      <c r="T348" s="618"/>
      <c r="U348" s="618"/>
      <c r="Y348" s="619"/>
    </row>
    <row r="349" spans="1:25" x14ac:dyDescent="0.2">
      <c r="A349" s="615"/>
      <c r="B349" s="615"/>
      <c r="C349" s="615"/>
      <c r="D349" s="615"/>
      <c r="E349" s="615"/>
      <c r="F349" s="627"/>
      <c r="G349" s="627"/>
      <c r="H349" s="627"/>
      <c r="I349" s="628"/>
      <c r="J349" s="629"/>
      <c r="K349" s="629"/>
      <c r="L349" s="629"/>
      <c r="M349" s="629"/>
      <c r="N349" s="629"/>
      <c r="O349" s="618"/>
      <c r="P349" s="618"/>
      <c r="Q349" s="618"/>
      <c r="R349" s="618"/>
      <c r="S349" s="618"/>
      <c r="T349" s="618"/>
      <c r="U349" s="618"/>
      <c r="Y349" s="619"/>
    </row>
    <row r="350" spans="1:25" x14ac:dyDescent="0.2">
      <c r="A350" s="615"/>
      <c r="B350" s="615"/>
      <c r="C350" s="615"/>
      <c r="D350" s="615"/>
      <c r="E350" s="615"/>
      <c r="F350" s="627"/>
      <c r="G350" s="627"/>
      <c r="H350" s="627"/>
      <c r="I350" s="628"/>
      <c r="J350" s="629"/>
      <c r="K350" s="629"/>
      <c r="L350" s="629"/>
      <c r="M350" s="629"/>
      <c r="N350" s="629"/>
      <c r="O350" s="618"/>
      <c r="P350" s="618"/>
      <c r="Q350" s="618"/>
      <c r="R350" s="618"/>
      <c r="S350" s="618"/>
      <c r="T350" s="618"/>
      <c r="U350" s="618"/>
      <c r="Y350" s="619"/>
    </row>
    <row r="351" spans="1:25" x14ac:dyDescent="0.2">
      <c r="A351" s="615"/>
      <c r="B351" s="615"/>
      <c r="C351" s="615"/>
      <c r="D351" s="615"/>
      <c r="E351" s="615"/>
      <c r="F351" s="627"/>
      <c r="G351" s="627"/>
      <c r="H351" s="627"/>
      <c r="I351" s="628"/>
      <c r="J351" s="629"/>
      <c r="K351" s="629"/>
      <c r="L351" s="629"/>
      <c r="M351" s="629"/>
      <c r="N351" s="629"/>
      <c r="O351" s="618"/>
      <c r="P351" s="618"/>
      <c r="Q351" s="618"/>
      <c r="R351" s="618"/>
      <c r="S351" s="618"/>
      <c r="T351" s="618"/>
      <c r="U351" s="618"/>
      <c r="Y351" s="619"/>
    </row>
    <row r="352" spans="1:25" x14ac:dyDescent="0.2">
      <c r="A352" s="615"/>
      <c r="B352" s="615"/>
      <c r="C352" s="615"/>
      <c r="D352" s="615"/>
      <c r="E352" s="615"/>
      <c r="F352" s="627"/>
      <c r="G352" s="627"/>
      <c r="H352" s="627"/>
      <c r="I352" s="628"/>
      <c r="J352" s="629"/>
      <c r="K352" s="629"/>
      <c r="L352" s="629"/>
      <c r="M352" s="629"/>
      <c r="N352" s="629"/>
      <c r="O352" s="618"/>
      <c r="P352" s="618"/>
      <c r="Q352" s="618"/>
      <c r="R352" s="618"/>
      <c r="S352" s="618"/>
      <c r="T352" s="618"/>
      <c r="U352" s="618"/>
      <c r="Y352" s="619"/>
    </row>
    <row r="353" spans="1:25" x14ac:dyDescent="0.2">
      <c r="A353" s="615"/>
      <c r="B353" s="615"/>
      <c r="C353" s="615"/>
      <c r="D353" s="615"/>
      <c r="E353" s="615"/>
      <c r="F353" s="627"/>
      <c r="G353" s="627"/>
      <c r="H353" s="627"/>
      <c r="I353" s="628"/>
      <c r="J353" s="629"/>
      <c r="K353" s="629"/>
      <c r="L353" s="629"/>
      <c r="M353" s="629"/>
      <c r="N353" s="629"/>
      <c r="O353" s="618"/>
      <c r="P353" s="618"/>
      <c r="Q353" s="618"/>
      <c r="R353" s="618"/>
      <c r="S353" s="618"/>
      <c r="T353" s="618"/>
      <c r="U353" s="618"/>
      <c r="Y353" s="619"/>
    </row>
    <row r="354" spans="1:25" x14ac:dyDescent="0.2">
      <c r="A354" s="615"/>
      <c r="B354" s="615"/>
      <c r="C354" s="615"/>
      <c r="D354" s="615"/>
      <c r="E354" s="615"/>
      <c r="F354" s="627"/>
      <c r="G354" s="627"/>
      <c r="H354" s="627"/>
      <c r="I354" s="628"/>
      <c r="J354" s="629"/>
      <c r="K354" s="629"/>
      <c r="L354" s="629"/>
      <c r="M354" s="629"/>
      <c r="N354" s="629"/>
      <c r="O354" s="618"/>
      <c r="P354" s="618"/>
      <c r="Q354" s="618"/>
      <c r="R354" s="618"/>
      <c r="S354" s="618"/>
      <c r="T354" s="618"/>
      <c r="U354" s="618"/>
      <c r="Y354" s="619"/>
    </row>
    <row r="355" spans="1:25" x14ac:dyDescent="0.2">
      <c r="A355" s="615"/>
      <c r="B355" s="615"/>
      <c r="C355" s="615"/>
      <c r="D355" s="615"/>
      <c r="E355" s="615"/>
      <c r="F355" s="627"/>
      <c r="G355" s="627"/>
      <c r="H355" s="627"/>
      <c r="I355" s="628"/>
      <c r="J355" s="629"/>
      <c r="K355" s="629"/>
      <c r="L355" s="629"/>
      <c r="M355" s="629"/>
      <c r="N355" s="629"/>
      <c r="O355" s="618"/>
      <c r="P355" s="618"/>
      <c r="Q355" s="618"/>
      <c r="R355" s="618"/>
      <c r="S355" s="618"/>
      <c r="T355" s="618"/>
      <c r="U355" s="618"/>
      <c r="Y355" s="619"/>
    </row>
    <row r="356" spans="1:25" x14ac:dyDescent="0.2">
      <c r="A356" s="615"/>
      <c r="B356" s="615"/>
      <c r="C356" s="615"/>
      <c r="D356" s="615"/>
      <c r="E356" s="615"/>
      <c r="F356" s="627"/>
      <c r="G356" s="627"/>
      <c r="H356" s="627"/>
      <c r="I356" s="628"/>
      <c r="J356" s="629"/>
      <c r="K356" s="629"/>
      <c r="L356" s="629"/>
      <c r="M356" s="629"/>
      <c r="N356" s="629"/>
      <c r="O356" s="618"/>
      <c r="P356" s="618"/>
      <c r="Q356" s="618"/>
      <c r="R356" s="618"/>
      <c r="S356" s="618"/>
      <c r="T356" s="618"/>
      <c r="U356" s="618"/>
      <c r="Y356" s="619"/>
    </row>
    <row r="357" spans="1:25" x14ac:dyDescent="0.2">
      <c r="A357" s="615"/>
      <c r="B357" s="615"/>
      <c r="C357" s="615"/>
      <c r="D357" s="615"/>
      <c r="E357" s="615"/>
      <c r="F357" s="627"/>
      <c r="G357" s="627"/>
      <c r="H357" s="627"/>
      <c r="I357" s="628"/>
      <c r="J357" s="629"/>
      <c r="K357" s="629"/>
      <c r="L357" s="629"/>
      <c r="M357" s="629"/>
      <c r="N357" s="629"/>
      <c r="O357" s="618"/>
      <c r="P357" s="618"/>
      <c r="Q357" s="618"/>
      <c r="R357" s="618"/>
      <c r="S357" s="618"/>
      <c r="T357" s="618"/>
      <c r="U357" s="618"/>
      <c r="Y357" s="619"/>
    </row>
    <row r="358" spans="1:25" x14ac:dyDescent="0.2">
      <c r="A358" s="615"/>
      <c r="B358" s="615"/>
      <c r="C358" s="615"/>
      <c r="D358" s="615"/>
      <c r="E358" s="615"/>
      <c r="F358" s="627"/>
      <c r="G358" s="627"/>
      <c r="H358" s="627"/>
      <c r="I358" s="628"/>
      <c r="J358" s="629"/>
      <c r="K358" s="629"/>
      <c r="L358" s="629"/>
      <c r="M358" s="629"/>
      <c r="N358" s="629"/>
      <c r="O358" s="618"/>
      <c r="P358" s="618"/>
      <c r="Q358" s="618"/>
      <c r="R358" s="618"/>
      <c r="S358" s="618"/>
      <c r="T358" s="618"/>
      <c r="U358" s="618"/>
      <c r="Y358" s="619"/>
    </row>
    <row r="359" spans="1:25" x14ac:dyDescent="0.2">
      <c r="A359" s="615"/>
      <c r="B359" s="615"/>
      <c r="C359" s="615"/>
      <c r="D359" s="615"/>
      <c r="E359" s="615"/>
      <c r="F359" s="627"/>
      <c r="G359" s="627"/>
      <c r="H359" s="627"/>
      <c r="I359" s="628"/>
      <c r="J359" s="629"/>
      <c r="K359" s="629"/>
      <c r="L359" s="629"/>
      <c r="M359" s="629"/>
      <c r="N359" s="629"/>
      <c r="O359" s="618"/>
      <c r="P359" s="618"/>
      <c r="Q359" s="618"/>
      <c r="R359" s="618"/>
      <c r="S359" s="618"/>
      <c r="T359" s="618"/>
      <c r="U359" s="618"/>
      <c r="Y359" s="619"/>
    </row>
    <row r="360" spans="1:25" x14ac:dyDescent="0.2">
      <c r="A360" s="615"/>
      <c r="B360" s="615"/>
      <c r="C360" s="615"/>
      <c r="D360" s="615"/>
      <c r="E360" s="615"/>
      <c r="F360" s="627"/>
      <c r="G360" s="627"/>
      <c r="H360" s="627"/>
      <c r="I360" s="628"/>
      <c r="J360" s="629"/>
      <c r="K360" s="629"/>
      <c r="L360" s="629"/>
      <c r="M360" s="629"/>
      <c r="N360" s="629"/>
      <c r="O360" s="618"/>
      <c r="P360" s="618"/>
      <c r="Q360" s="618"/>
      <c r="R360" s="618"/>
      <c r="S360" s="618"/>
      <c r="T360" s="618"/>
      <c r="U360" s="618"/>
      <c r="Y360" s="619"/>
    </row>
    <row r="361" spans="1:25" x14ac:dyDescent="0.2">
      <c r="A361" s="615"/>
      <c r="B361" s="615"/>
      <c r="C361" s="615"/>
      <c r="D361" s="615"/>
      <c r="E361" s="615"/>
      <c r="F361" s="627"/>
      <c r="G361" s="627"/>
      <c r="H361" s="627"/>
      <c r="I361" s="628"/>
      <c r="J361" s="629"/>
      <c r="K361" s="629"/>
      <c r="L361" s="629"/>
      <c r="M361" s="629"/>
      <c r="N361" s="629"/>
      <c r="O361" s="618"/>
      <c r="P361" s="618"/>
      <c r="Q361" s="618"/>
      <c r="R361" s="618"/>
      <c r="S361" s="618"/>
      <c r="T361" s="618"/>
      <c r="U361" s="618"/>
      <c r="Y361" s="619"/>
    </row>
    <row r="362" spans="1:25" x14ac:dyDescent="0.2">
      <c r="A362" s="615"/>
      <c r="B362" s="615"/>
      <c r="C362" s="615"/>
      <c r="D362" s="615"/>
      <c r="E362" s="615"/>
      <c r="F362" s="627"/>
      <c r="G362" s="627"/>
      <c r="H362" s="627"/>
      <c r="I362" s="628"/>
      <c r="J362" s="629"/>
      <c r="K362" s="629"/>
      <c r="L362" s="629"/>
      <c r="M362" s="629"/>
      <c r="N362" s="629"/>
      <c r="O362" s="618"/>
      <c r="P362" s="618"/>
      <c r="Q362" s="618"/>
      <c r="R362" s="618"/>
      <c r="S362" s="618"/>
      <c r="T362" s="618"/>
      <c r="U362" s="618"/>
      <c r="Y362" s="619"/>
    </row>
    <row r="363" spans="1:25" x14ac:dyDescent="0.2">
      <c r="A363" s="615"/>
      <c r="B363" s="615"/>
      <c r="C363" s="615"/>
      <c r="D363" s="615"/>
      <c r="E363" s="615"/>
      <c r="F363" s="627"/>
      <c r="G363" s="627"/>
      <c r="H363" s="627"/>
      <c r="I363" s="628"/>
      <c r="J363" s="629"/>
      <c r="K363" s="629"/>
      <c r="L363" s="629"/>
      <c r="M363" s="629"/>
      <c r="N363" s="629"/>
      <c r="O363" s="618"/>
      <c r="P363" s="618"/>
      <c r="Q363" s="618"/>
      <c r="R363" s="618"/>
      <c r="S363" s="618"/>
      <c r="T363" s="618"/>
      <c r="U363" s="618"/>
      <c r="Y363" s="619"/>
    </row>
    <row r="364" spans="1:25" x14ac:dyDescent="0.2">
      <c r="A364" s="615"/>
      <c r="B364" s="615"/>
      <c r="C364" s="615"/>
      <c r="D364" s="615"/>
      <c r="E364" s="615"/>
      <c r="F364" s="627"/>
      <c r="G364" s="627"/>
      <c r="H364" s="627"/>
      <c r="I364" s="628"/>
      <c r="J364" s="629"/>
      <c r="K364" s="629"/>
      <c r="L364" s="629"/>
      <c r="M364" s="629"/>
      <c r="N364" s="629"/>
      <c r="O364" s="618"/>
      <c r="P364" s="618"/>
      <c r="Q364" s="618"/>
      <c r="R364" s="618"/>
      <c r="S364" s="618"/>
      <c r="T364" s="618"/>
      <c r="U364" s="618"/>
      <c r="Y364" s="619"/>
    </row>
    <row r="365" spans="1:25" x14ac:dyDescent="0.2">
      <c r="A365" s="615"/>
      <c r="B365" s="615"/>
      <c r="C365" s="615"/>
      <c r="D365" s="615"/>
      <c r="E365" s="615"/>
      <c r="F365" s="627"/>
      <c r="G365" s="627"/>
      <c r="H365" s="627"/>
      <c r="I365" s="628"/>
      <c r="J365" s="629"/>
      <c r="K365" s="629"/>
      <c r="L365" s="629"/>
      <c r="M365" s="629"/>
      <c r="N365" s="629"/>
      <c r="O365" s="618"/>
      <c r="P365" s="618"/>
      <c r="Q365" s="618"/>
      <c r="R365" s="618"/>
      <c r="S365" s="618"/>
      <c r="T365" s="618"/>
      <c r="U365" s="618"/>
      <c r="Y365" s="619"/>
    </row>
    <row r="366" spans="1:25" x14ac:dyDescent="0.2">
      <c r="A366" s="615"/>
      <c r="B366" s="615"/>
      <c r="C366" s="615"/>
      <c r="D366" s="615"/>
      <c r="E366" s="615"/>
      <c r="F366" s="627"/>
      <c r="G366" s="627"/>
      <c r="H366" s="627"/>
      <c r="I366" s="628"/>
      <c r="J366" s="629"/>
      <c r="K366" s="629"/>
      <c r="L366" s="629"/>
      <c r="M366" s="629"/>
      <c r="N366" s="629"/>
      <c r="O366" s="618"/>
      <c r="P366" s="618"/>
      <c r="Q366" s="618"/>
      <c r="R366" s="618"/>
      <c r="S366" s="618"/>
      <c r="T366" s="618"/>
      <c r="U366" s="618"/>
      <c r="Y366" s="619"/>
    </row>
    <row r="367" spans="1:25" x14ac:dyDescent="0.2">
      <c r="A367" s="615"/>
      <c r="B367" s="615"/>
      <c r="C367" s="615"/>
      <c r="D367" s="615"/>
      <c r="E367" s="615"/>
      <c r="F367" s="627"/>
      <c r="G367" s="627"/>
      <c r="H367" s="627"/>
      <c r="I367" s="628"/>
      <c r="J367" s="629"/>
      <c r="K367" s="629"/>
      <c r="L367" s="629"/>
      <c r="M367" s="629"/>
      <c r="N367" s="629"/>
      <c r="O367" s="618"/>
      <c r="P367" s="618"/>
      <c r="Q367" s="618"/>
      <c r="R367" s="618"/>
      <c r="S367" s="618"/>
      <c r="T367" s="618"/>
      <c r="U367" s="618"/>
      <c r="Y367" s="619"/>
    </row>
    <row r="368" spans="1:25" x14ac:dyDescent="0.2">
      <c r="A368" s="615"/>
      <c r="B368" s="615"/>
      <c r="C368" s="615"/>
      <c r="D368" s="615"/>
      <c r="E368" s="615"/>
      <c r="F368" s="627"/>
      <c r="G368" s="627"/>
      <c r="H368" s="627"/>
      <c r="I368" s="628"/>
      <c r="J368" s="629"/>
      <c r="K368" s="629"/>
      <c r="L368" s="629"/>
      <c r="M368" s="629"/>
      <c r="N368" s="629"/>
      <c r="O368" s="618"/>
      <c r="P368" s="618"/>
      <c r="Q368" s="618"/>
      <c r="R368" s="618"/>
      <c r="S368" s="618"/>
      <c r="T368" s="618"/>
      <c r="U368" s="618"/>
      <c r="Y368" s="619"/>
    </row>
    <row r="369" spans="1:25" x14ac:dyDescent="0.2">
      <c r="A369" s="615"/>
      <c r="B369" s="615"/>
      <c r="C369" s="615"/>
      <c r="D369" s="615"/>
      <c r="E369" s="615"/>
      <c r="F369" s="627"/>
      <c r="G369" s="627"/>
      <c r="H369" s="627"/>
      <c r="I369" s="628"/>
      <c r="J369" s="629"/>
      <c r="K369" s="629"/>
      <c r="L369" s="629"/>
      <c r="M369" s="629"/>
      <c r="N369" s="629"/>
      <c r="O369" s="618"/>
      <c r="P369" s="618"/>
      <c r="Q369" s="618"/>
      <c r="R369" s="618"/>
      <c r="S369" s="618"/>
      <c r="T369" s="618"/>
      <c r="U369" s="618"/>
      <c r="Y369" s="619"/>
    </row>
    <row r="370" spans="1:25" x14ac:dyDescent="0.2">
      <c r="A370" s="615"/>
      <c r="B370" s="615"/>
      <c r="C370" s="615"/>
      <c r="D370" s="615"/>
      <c r="E370" s="615"/>
      <c r="F370" s="627"/>
      <c r="G370" s="627"/>
      <c r="H370" s="627"/>
      <c r="I370" s="628"/>
      <c r="J370" s="629"/>
      <c r="K370" s="629"/>
      <c r="L370" s="629"/>
      <c r="M370" s="629"/>
      <c r="N370" s="629"/>
      <c r="O370" s="618"/>
      <c r="P370" s="618"/>
      <c r="Q370" s="618"/>
      <c r="R370" s="618"/>
      <c r="S370" s="618"/>
      <c r="T370" s="618"/>
      <c r="U370" s="618"/>
      <c r="Y370" s="619"/>
    </row>
    <row r="371" spans="1:25" x14ac:dyDescent="0.2">
      <c r="A371" s="615"/>
      <c r="B371" s="615"/>
      <c r="C371" s="615"/>
      <c r="D371" s="615"/>
      <c r="E371" s="615"/>
      <c r="F371" s="627"/>
      <c r="G371" s="627"/>
      <c r="H371" s="627"/>
      <c r="I371" s="628"/>
      <c r="J371" s="629"/>
      <c r="K371" s="629"/>
      <c r="L371" s="629"/>
      <c r="M371" s="629"/>
      <c r="N371" s="629"/>
      <c r="O371" s="618"/>
      <c r="P371" s="618"/>
      <c r="Q371" s="618"/>
      <c r="R371" s="618"/>
      <c r="S371" s="618"/>
      <c r="T371" s="618"/>
      <c r="U371" s="618"/>
      <c r="Y371" s="619"/>
    </row>
    <row r="372" spans="1:25" x14ac:dyDescent="0.2">
      <c r="A372" s="615"/>
      <c r="B372" s="615"/>
      <c r="C372" s="615"/>
      <c r="D372" s="615"/>
      <c r="E372" s="615"/>
      <c r="F372" s="627"/>
      <c r="G372" s="627"/>
      <c r="H372" s="627"/>
      <c r="I372" s="628"/>
      <c r="J372" s="629"/>
      <c r="K372" s="629"/>
      <c r="L372" s="629"/>
      <c r="M372" s="629"/>
      <c r="N372" s="629"/>
      <c r="O372" s="618"/>
      <c r="P372" s="618"/>
      <c r="Q372" s="618"/>
      <c r="R372" s="618"/>
      <c r="S372" s="618"/>
      <c r="T372" s="618"/>
      <c r="U372" s="618"/>
      <c r="Y372" s="619"/>
    </row>
    <row r="373" spans="1:25" x14ac:dyDescent="0.2">
      <c r="A373" s="615"/>
      <c r="B373" s="615"/>
      <c r="C373" s="615"/>
      <c r="D373" s="615"/>
      <c r="E373" s="615"/>
      <c r="F373" s="627"/>
      <c r="G373" s="627"/>
      <c r="H373" s="627"/>
      <c r="I373" s="628"/>
      <c r="J373" s="629"/>
      <c r="K373" s="629"/>
      <c r="L373" s="629"/>
      <c r="M373" s="629"/>
      <c r="N373" s="629"/>
      <c r="O373" s="618"/>
      <c r="P373" s="618"/>
      <c r="Q373" s="618"/>
      <c r="R373" s="618"/>
      <c r="S373" s="618"/>
      <c r="T373" s="618"/>
      <c r="U373" s="618"/>
      <c r="Y373" s="619"/>
    </row>
    <row r="374" spans="1:25" x14ac:dyDescent="0.2">
      <c r="A374" s="615"/>
      <c r="B374" s="615"/>
      <c r="C374" s="615"/>
      <c r="D374" s="615"/>
      <c r="E374" s="615"/>
      <c r="F374" s="627"/>
      <c r="G374" s="627"/>
      <c r="H374" s="627"/>
      <c r="I374" s="628"/>
      <c r="J374" s="629"/>
      <c r="K374" s="629"/>
      <c r="L374" s="629"/>
      <c r="M374" s="629"/>
      <c r="N374" s="629"/>
      <c r="O374" s="618"/>
      <c r="P374" s="618"/>
      <c r="Q374" s="618"/>
      <c r="R374" s="618"/>
      <c r="S374" s="618"/>
      <c r="T374" s="618"/>
      <c r="U374" s="618"/>
      <c r="Y374" s="619"/>
    </row>
    <row r="375" spans="1:25" x14ac:dyDescent="0.2">
      <c r="A375" s="615"/>
      <c r="B375" s="615"/>
      <c r="C375" s="615"/>
      <c r="D375" s="615"/>
      <c r="E375" s="615"/>
      <c r="F375" s="627"/>
      <c r="G375" s="627"/>
      <c r="H375" s="627"/>
      <c r="I375" s="628"/>
      <c r="J375" s="629"/>
      <c r="K375" s="629"/>
      <c r="L375" s="629"/>
      <c r="M375" s="629"/>
      <c r="N375" s="629"/>
      <c r="O375" s="618"/>
      <c r="P375" s="618"/>
      <c r="Q375" s="618"/>
      <c r="R375" s="618"/>
      <c r="S375" s="618"/>
      <c r="T375" s="618"/>
      <c r="U375" s="618"/>
      <c r="Y375" s="619"/>
    </row>
    <row r="376" spans="1:25" x14ac:dyDescent="0.2">
      <c r="A376" s="615"/>
      <c r="B376" s="615"/>
      <c r="C376" s="615"/>
      <c r="D376" s="615"/>
      <c r="E376" s="615"/>
      <c r="F376" s="627"/>
      <c r="G376" s="627"/>
      <c r="H376" s="627"/>
      <c r="I376" s="628"/>
      <c r="J376" s="629"/>
      <c r="K376" s="629"/>
      <c r="L376" s="629"/>
      <c r="M376" s="629"/>
      <c r="N376" s="629"/>
      <c r="O376" s="618"/>
      <c r="P376" s="618"/>
      <c r="Q376" s="618"/>
      <c r="R376" s="618"/>
      <c r="S376" s="618"/>
      <c r="T376" s="618"/>
      <c r="U376" s="618"/>
      <c r="Y376" s="619"/>
    </row>
    <row r="377" spans="1:25" x14ac:dyDescent="0.2">
      <c r="A377" s="615"/>
      <c r="B377" s="615"/>
      <c r="C377" s="615"/>
      <c r="D377" s="615"/>
      <c r="E377" s="615"/>
      <c r="F377" s="627"/>
      <c r="G377" s="627"/>
      <c r="H377" s="627"/>
      <c r="I377" s="628"/>
      <c r="J377" s="629"/>
      <c r="K377" s="629"/>
      <c r="L377" s="629"/>
      <c r="M377" s="629"/>
      <c r="N377" s="629"/>
      <c r="O377" s="618"/>
      <c r="P377" s="618"/>
      <c r="Q377" s="618"/>
      <c r="R377" s="618"/>
      <c r="S377" s="618"/>
      <c r="T377" s="618"/>
      <c r="U377" s="618"/>
      <c r="Y377" s="619"/>
    </row>
    <row r="378" spans="1:25" x14ac:dyDescent="0.2">
      <c r="A378" s="615"/>
      <c r="B378" s="615"/>
      <c r="C378" s="615"/>
      <c r="D378" s="615"/>
      <c r="E378" s="615"/>
      <c r="F378" s="627"/>
      <c r="G378" s="627"/>
      <c r="H378" s="627"/>
      <c r="I378" s="628"/>
      <c r="J378" s="629"/>
      <c r="K378" s="629"/>
      <c r="L378" s="629"/>
      <c r="M378" s="629"/>
      <c r="N378" s="629"/>
      <c r="O378" s="618"/>
      <c r="P378" s="618"/>
      <c r="Q378" s="618"/>
      <c r="R378" s="618"/>
      <c r="S378" s="618"/>
      <c r="T378" s="618"/>
      <c r="U378" s="618"/>
      <c r="Y378" s="619"/>
    </row>
    <row r="379" spans="1:25" x14ac:dyDescent="0.2">
      <c r="A379" s="615"/>
      <c r="B379" s="615"/>
      <c r="C379" s="615"/>
      <c r="D379" s="615"/>
      <c r="E379" s="615"/>
      <c r="F379" s="627"/>
      <c r="G379" s="627"/>
      <c r="H379" s="627"/>
      <c r="I379" s="628"/>
      <c r="J379" s="629"/>
      <c r="K379" s="629"/>
      <c r="L379" s="629"/>
      <c r="M379" s="629"/>
      <c r="N379" s="629"/>
      <c r="O379" s="618"/>
      <c r="P379" s="618"/>
      <c r="Q379" s="618"/>
      <c r="R379" s="618"/>
      <c r="S379" s="618"/>
      <c r="T379" s="618"/>
      <c r="U379" s="618"/>
      <c r="Y379" s="619"/>
    </row>
    <row r="380" spans="1:25" x14ac:dyDescent="0.2">
      <c r="A380" s="615"/>
      <c r="B380" s="615"/>
      <c r="C380" s="615"/>
      <c r="D380" s="615"/>
      <c r="E380" s="615"/>
      <c r="F380" s="627"/>
      <c r="G380" s="627"/>
      <c r="H380" s="627"/>
      <c r="I380" s="628"/>
      <c r="J380" s="629"/>
      <c r="K380" s="629"/>
      <c r="L380" s="629"/>
      <c r="M380" s="629"/>
      <c r="N380" s="629"/>
      <c r="O380" s="618"/>
      <c r="P380" s="618"/>
      <c r="Q380" s="618"/>
      <c r="R380" s="618"/>
      <c r="S380" s="618"/>
      <c r="T380" s="618"/>
      <c r="U380" s="618"/>
      <c r="Y380" s="619"/>
    </row>
    <row r="381" spans="1:25" x14ac:dyDescent="0.2">
      <c r="A381" s="615"/>
      <c r="B381" s="615"/>
      <c r="C381" s="615"/>
      <c r="D381" s="615"/>
      <c r="E381" s="615"/>
      <c r="F381" s="627"/>
      <c r="G381" s="627"/>
      <c r="H381" s="627"/>
      <c r="I381" s="628"/>
      <c r="J381" s="629"/>
      <c r="K381" s="629"/>
      <c r="L381" s="629"/>
      <c r="M381" s="629"/>
      <c r="N381" s="629"/>
      <c r="O381" s="618"/>
      <c r="P381" s="618"/>
      <c r="Q381" s="618"/>
      <c r="R381" s="618"/>
      <c r="S381" s="618"/>
      <c r="T381" s="618"/>
      <c r="U381" s="618"/>
      <c r="Y381" s="619"/>
    </row>
    <row r="382" spans="1:25" x14ac:dyDescent="0.2">
      <c r="A382" s="615"/>
      <c r="B382" s="615"/>
      <c r="C382" s="615"/>
      <c r="D382" s="615"/>
      <c r="E382" s="615"/>
      <c r="F382" s="627"/>
      <c r="G382" s="627"/>
      <c r="H382" s="627"/>
      <c r="I382" s="628"/>
      <c r="J382" s="629"/>
      <c r="K382" s="629"/>
      <c r="L382" s="629"/>
      <c r="M382" s="629"/>
      <c r="N382" s="629"/>
      <c r="O382" s="618"/>
      <c r="P382" s="618"/>
      <c r="Q382" s="618"/>
      <c r="R382" s="618"/>
      <c r="S382" s="618"/>
      <c r="T382" s="618"/>
      <c r="U382" s="618"/>
      <c r="Y382" s="619"/>
    </row>
    <row r="383" spans="1:25" x14ac:dyDescent="0.2">
      <c r="A383" s="615"/>
      <c r="B383" s="615"/>
      <c r="C383" s="615"/>
      <c r="D383" s="615"/>
      <c r="E383" s="615"/>
      <c r="F383" s="627"/>
      <c r="G383" s="627"/>
      <c r="H383" s="627"/>
      <c r="I383" s="628"/>
      <c r="J383" s="629"/>
      <c r="K383" s="629"/>
      <c r="L383" s="629"/>
      <c r="M383" s="629"/>
      <c r="N383" s="629"/>
      <c r="O383" s="618"/>
      <c r="P383" s="618"/>
      <c r="Q383" s="618"/>
      <c r="R383" s="618"/>
      <c r="S383" s="618"/>
      <c r="T383" s="618"/>
      <c r="U383" s="618"/>
      <c r="Y383" s="619"/>
    </row>
    <row r="384" spans="1:25" x14ac:dyDescent="0.2">
      <c r="A384" s="615"/>
      <c r="B384" s="615"/>
      <c r="C384" s="615"/>
      <c r="D384" s="615"/>
      <c r="E384" s="615"/>
      <c r="F384" s="627"/>
      <c r="G384" s="627"/>
      <c r="H384" s="627"/>
      <c r="I384" s="628"/>
      <c r="J384" s="629"/>
      <c r="K384" s="629"/>
      <c r="L384" s="629"/>
      <c r="M384" s="629"/>
      <c r="N384" s="629"/>
      <c r="O384" s="618"/>
      <c r="P384" s="618"/>
      <c r="Q384" s="618"/>
      <c r="R384" s="618"/>
      <c r="S384" s="618"/>
      <c r="T384" s="618"/>
      <c r="U384" s="618"/>
      <c r="Y384" s="619"/>
    </row>
    <row r="385" spans="1:25" x14ac:dyDescent="0.2">
      <c r="A385" s="615"/>
      <c r="B385" s="615"/>
      <c r="C385" s="615"/>
      <c r="D385" s="615"/>
      <c r="E385" s="615"/>
      <c r="F385" s="627"/>
      <c r="G385" s="627"/>
      <c r="H385" s="627"/>
      <c r="I385" s="628"/>
      <c r="J385" s="629"/>
      <c r="K385" s="629"/>
      <c r="L385" s="629"/>
      <c r="M385" s="629"/>
      <c r="N385" s="629"/>
      <c r="O385" s="618"/>
      <c r="P385" s="618"/>
      <c r="Q385" s="618"/>
      <c r="R385" s="618"/>
      <c r="S385" s="618"/>
      <c r="T385" s="618"/>
      <c r="U385" s="618"/>
      <c r="Y385" s="619"/>
    </row>
    <row r="386" spans="1:25" x14ac:dyDescent="0.2">
      <c r="A386" s="615"/>
      <c r="B386" s="615"/>
      <c r="C386" s="615"/>
      <c r="D386" s="615"/>
      <c r="E386" s="615"/>
      <c r="F386" s="627"/>
      <c r="G386" s="627"/>
      <c r="H386" s="627"/>
      <c r="I386" s="628"/>
      <c r="J386" s="629"/>
      <c r="K386" s="629"/>
      <c r="L386" s="629"/>
      <c r="M386" s="629"/>
      <c r="N386" s="629"/>
      <c r="O386" s="618"/>
      <c r="P386" s="618"/>
      <c r="Q386" s="618"/>
      <c r="R386" s="618"/>
      <c r="S386" s="618"/>
      <c r="T386" s="618"/>
      <c r="U386" s="618"/>
      <c r="Y386" s="619"/>
    </row>
    <row r="387" spans="1:25" x14ac:dyDescent="0.2">
      <c r="A387" s="615"/>
      <c r="B387" s="615"/>
      <c r="C387" s="615"/>
      <c r="D387" s="615"/>
      <c r="E387" s="615"/>
      <c r="F387" s="627"/>
      <c r="G387" s="627"/>
      <c r="H387" s="627"/>
      <c r="I387" s="628"/>
      <c r="J387" s="629"/>
      <c r="K387" s="629"/>
      <c r="L387" s="629"/>
      <c r="M387" s="629"/>
      <c r="N387" s="629"/>
      <c r="O387" s="618"/>
      <c r="P387" s="618"/>
      <c r="Q387" s="618"/>
      <c r="R387" s="618"/>
      <c r="S387" s="618"/>
      <c r="T387" s="618"/>
      <c r="U387" s="618"/>
      <c r="Y387" s="619"/>
    </row>
    <row r="388" spans="1:25" x14ac:dyDescent="0.2">
      <c r="A388" s="615"/>
      <c r="B388" s="615"/>
      <c r="C388" s="615"/>
      <c r="D388" s="615"/>
      <c r="E388" s="615"/>
      <c r="F388" s="627"/>
      <c r="G388" s="627"/>
      <c r="H388" s="627"/>
      <c r="I388" s="628"/>
      <c r="J388" s="629"/>
      <c r="K388" s="629"/>
      <c r="L388" s="629"/>
      <c r="M388" s="629"/>
      <c r="N388" s="629"/>
      <c r="O388" s="618"/>
      <c r="P388" s="618"/>
      <c r="Q388" s="618"/>
      <c r="R388" s="618"/>
      <c r="S388" s="618"/>
      <c r="T388" s="618"/>
      <c r="U388" s="618"/>
      <c r="Y388" s="619"/>
    </row>
    <row r="389" spans="1:25" x14ac:dyDescent="0.2">
      <c r="A389" s="615"/>
      <c r="B389" s="615"/>
      <c r="C389" s="615"/>
      <c r="D389" s="615"/>
      <c r="E389" s="615"/>
      <c r="F389" s="627"/>
      <c r="G389" s="627"/>
      <c r="H389" s="627"/>
      <c r="I389" s="628"/>
      <c r="J389" s="629"/>
      <c r="K389" s="629"/>
      <c r="L389" s="629"/>
      <c r="M389" s="629"/>
      <c r="N389" s="629"/>
      <c r="O389" s="618"/>
      <c r="P389" s="618"/>
      <c r="Q389" s="618"/>
      <c r="R389" s="618"/>
      <c r="S389" s="618"/>
      <c r="T389" s="618"/>
      <c r="U389" s="618"/>
      <c r="Y389" s="619"/>
    </row>
    <row r="390" spans="1:25" x14ac:dyDescent="0.2">
      <c r="A390" s="615"/>
      <c r="B390" s="615"/>
      <c r="C390" s="615"/>
      <c r="D390" s="615"/>
      <c r="E390" s="615"/>
      <c r="F390" s="627"/>
      <c r="G390" s="627"/>
      <c r="H390" s="627"/>
      <c r="I390" s="628"/>
      <c r="J390" s="629"/>
      <c r="K390" s="629"/>
      <c r="L390" s="629"/>
      <c r="M390" s="629"/>
      <c r="N390" s="629"/>
      <c r="O390" s="618"/>
      <c r="P390" s="618"/>
      <c r="Q390" s="618"/>
      <c r="R390" s="618"/>
      <c r="S390" s="618"/>
      <c r="T390" s="618"/>
      <c r="U390" s="618"/>
      <c r="Y390" s="619"/>
    </row>
    <row r="391" spans="1:25" x14ac:dyDescent="0.2">
      <c r="A391" s="615"/>
      <c r="B391" s="615"/>
      <c r="C391" s="615"/>
      <c r="D391" s="615"/>
      <c r="E391" s="615"/>
      <c r="F391" s="627"/>
      <c r="G391" s="627"/>
      <c r="H391" s="627"/>
      <c r="I391" s="628"/>
      <c r="J391" s="629"/>
      <c r="K391" s="629"/>
      <c r="L391" s="629"/>
      <c r="M391" s="629"/>
      <c r="N391" s="629"/>
      <c r="O391" s="618"/>
      <c r="P391" s="618"/>
      <c r="Q391" s="618"/>
      <c r="R391" s="618"/>
      <c r="S391" s="618"/>
      <c r="T391" s="618"/>
      <c r="U391" s="618"/>
      <c r="Y391" s="619"/>
    </row>
    <row r="392" spans="1:25" x14ac:dyDescent="0.2">
      <c r="A392" s="615"/>
      <c r="B392" s="615"/>
      <c r="C392" s="615"/>
      <c r="D392" s="615"/>
      <c r="E392" s="615"/>
      <c r="F392" s="627"/>
      <c r="G392" s="627"/>
      <c r="H392" s="627"/>
      <c r="I392" s="628"/>
      <c r="J392" s="629"/>
      <c r="K392" s="629"/>
      <c r="L392" s="629"/>
      <c r="M392" s="629"/>
      <c r="N392" s="629"/>
      <c r="O392" s="618"/>
      <c r="P392" s="618"/>
      <c r="Q392" s="618"/>
      <c r="R392" s="618"/>
      <c r="S392" s="618"/>
      <c r="T392" s="618"/>
      <c r="U392" s="618"/>
      <c r="Y392" s="619"/>
    </row>
    <row r="393" spans="1:25" x14ac:dyDescent="0.2">
      <c r="A393" s="615"/>
      <c r="B393" s="615"/>
      <c r="C393" s="615"/>
      <c r="D393" s="615"/>
      <c r="E393" s="615"/>
      <c r="F393" s="627"/>
      <c r="G393" s="627"/>
      <c r="H393" s="627"/>
      <c r="I393" s="628"/>
      <c r="J393" s="629"/>
      <c r="K393" s="629"/>
      <c r="L393" s="629"/>
      <c r="M393" s="629"/>
      <c r="N393" s="629"/>
      <c r="O393" s="618"/>
      <c r="P393" s="618"/>
      <c r="Q393" s="618"/>
      <c r="R393" s="618"/>
      <c r="S393" s="618"/>
      <c r="T393" s="618"/>
      <c r="U393" s="618"/>
      <c r="Y393" s="619"/>
    </row>
    <row r="394" spans="1:25" x14ac:dyDescent="0.2">
      <c r="A394" s="615"/>
      <c r="B394" s="615"/>
      <c r="C394" s="615"/>
      <c r="D394" s="615"/>
      <c r="E394" s="615"/>
      <c r="F394" s="627"/>
      <c r="G394" s="627"/>
      <c r="H394" s="627"/>
      <c r="I394" s="628"/>
      <c r="J394" s="629"/>
      <c r="K394" s="629"/>
      <c r="L394" s="629"/>
      <c r="M394" s="629"/>
      <c r="N394" s="629"/>
      <c r="O394" s="618"/>
      <c r="P394" s="618"/>
      <c r="Q394" s="618"/>
      <c r="R394" s="618"/>
      <c r="S394" s="618"/>
      <c r="T394" s="618"/>
      <c r="U394" s="618"/>
      <c r="Y394" s="619"/>
    </row>
    <row r="395" spans="1:25" x14ac:dyDescent="0.2">
      <c r="A395" s="615"/>
      <c r="B395" s="615"/>
      <c r="C395" s="615"/>
      <c r="D395" s="615"/>
      <c r="E395" s="615"/>
      <c r="F395" s="627"/>
      <c r="G395" s="627"/>
      <c r="H395" s="627"/>
      <c r="I395" s="628"/>
      <c r="J395" s="629"/>
      <c r="K395" s="629"/>
      <c r="L395" s="629"/>
      <c r="M395" s="629"/>
      <c r="N395" s="629"/>
      <c r="O395" s="618"/>
      <c r="P395" s="618"/>
      <c r="Q395" s="618"/>
      <c r="R395" s="618"/>
      <c r="S395" s="618"/>
      <c r="T395" s="618"/>
      <c r="U395" s="618"/>
      <c r="Y395" s="619"/>
    </row>
    <row r="396" spans="1:25" x14ac:dyDescent="0.2">
      <c r="A396" s="615"/>
      <c r="B396" s="615"/>
      <c r="C396" s="615"/>
      <c r="D396" s="615"/>
      <c r="E396" s="615"/>
      <c r="F396" s="627"/>
      <c r="G396" s="627"/>
      <c r="H396" s="627"/>
      <c r="I396" s="628"/>
      <c r="J396" s="629"/>
      <c r="K396" s="629"/>
      <c r="L396" s="629"/>
      <c r="M396" s="629"/>
      <c r="N396" s="629"/>
      <c r="O396" s="618"/>
      <c r="P396" s="618"/>
      <c r="Q396" s="618"/>
      <c r="R396" s="618"/>
      <c r="S396" s="618"/>
      <c r="T396" s="618"/>
      <c r="U396" s="618"/>
      <c r="Y396" s="619"/>
    </row>
    <row r="397" spans="1:25" x14ac:dyDescent="0.2">
      <c r="A397" s="615"/>
      <c r="B397" s="615"/>
      <c r="C397" s="615"/>
      <c r="D397" s="615"/>
      <c r="E397" s="615"/>
      <c r="F397" s="627"/>
      <c r="G397" s="627"/>
      <c r="H397" s="627"/>
      <c r="I397" s="628"/>
      <c r="J397" s="629"/>
      <c r="K397" s="629"/>
      <c r="L397" s="629"/>
      <c r="M397" s="629"/>
      <c r="N397" s="629"/>
      <c r="O397" s="618"/>
      <c r="P397" s="618"/>
      <c r="Q397" s="618"/>
      <c r="R397" s="618"/>
      <c r="S397" s="618"/>
      <c r="T397" s="618"/>
      <c r="U397" s="618"/>
      <c r="Y397" s="619"/>
    </row>
    <row r="398" spans="1:25" x14ac:dyDescent="0.2">
      <c r="A398" s="615"/>
      <c r="B398" s="615"/>
      <c r="C398" s="615"/>
      <c r="D398" s="615"/>
      <c r="E398" s="615"/>
      <c r="F398" s="627"/>
      <c r="G398" s="627"/>
      <c r="H398" s="627"/>
      <c r="I398" s="628"/>
      <c r="J398" s="629"/>
      <c r="K398" s="629"/>
      <c r="L398" s="629"/>
      <c r="M398" s="629"/>
      <c r="N398" s="629"/>
      <c r="O398" s="618"/>
      <c r="P398" s="618"/>
      <c r="Q398" s="618"/>
      <c r="R398" s="618"/>
      <c r="S398" s="618"/>
      <c r="T398" s="618"/>
      <c r="U398" s="618"/>
      <c r="Y398" s="619"/>
    </row>
    <row r="399" spans="1:25" x14ac:dyDescent="0.2">
      <c r="A399" s="615"/>
      <c r="B399" s="615"/>
      <c r="C399" s="615"/>
      <c r="D399" s="615"/>
      <c r="E399" s="615"/>
      <c r="F399" s="627"/>
      <c r="G399" s="627"/>
      <c r="H399" s="627"/>
      <c r="I399" s="628"/>
      <c r="J399" s="629"/>
      <c r="K399" s="629"/>
      <c r="L399" s="629"/>
      <c r="M399" s="629"/>
      <c r="N399" s="629"/>
      <c r="O399" s="618"/>
      <c r="P399" s="618"/>
      <c r="Q399" s="618"/>
      <c r="R399" s="618"/>
      <c r="S399" s="618"/>
      <c r="T399" s="618"/>
      <c r="U399" s="618"/>
      <c r="Y399" s="619"/>
    </row>
    <row r="400" spans="1:25" x14ac:dyDescent="0.2">
      <c r="A400" s="615"/>
      <c r="B400" s="615"/>
      <c r="C400" s="615"/>
      <c r="D400" s="615"/>
      <c r="E400" s="615"/>
      <c r="F400" s="627"/>
      <c r="G400" s="627"/>
      <c r="H400" s="627"/>
      <c r="I400" s="628"/>
      <c r="J400" s="629"/>
      <c r="K400" s="629"/>
      <c r="L400" s="629"/>
      <c r="M400" s="629"/>
      <c r="N400" s="629"/>
      <c r="O400" s="618"/>
      <c r="P400" s="618"/>
      <c r="Q400" s="618"/>
      <c r="R400" s="618"/>
      <c r="S400" s="618"/>
      <c r="T400" s="618"/>
      <c r="U400" s="618"/>
      <c r="Y400" s="619"/>
    </row>
    <row r="401" spans="1:25" x14ac:dyDescent="0.2">
      <c r="A401" s="615"/>
      <c r="B401" s="615"/>
      <c r="C401" s="615"/>
      <c r="D401" s="615"/>
      <c r="E401" s="615"/>
      <c r="F401" s="627"/>
      <c r="G401" s="627"/>
      <c r="H401" s="627"/>
      <c r="I401" s="628"/>
      <c r="J401" s="629"/>
      <c r="K401" s="629"/>
      <c r="L401" s="629"/>
      <c r="M401" s="629"/>
      <c r="N401" s="629"/>
      <c r="O401" s="618"/>
      <c r="P401" s="618"/>
      <c r="Q401" s="618"/>
      <c r="R401" s="618"/>
      <c r="S401" s="618"/>
      <c r="T401" s="618"/>
      <c r="U401" s="618"/>
      <c r="Y401" s="619"/>
    </row>
    <row r="402" spans="1:25" x14ac:dyDescent="0.2">
      <c r="A402" s="615"/>
      <c r="B402" s="615"/>
      <c r="C402" s="615"/>
      <c r="D402" s="615"/>
      <c r="E402" s="615"/>
      <c r="F402" s="627"/>
      <c r="G402" s="627"/>
      <c r="H402" s="627"/>
      <c r="I402" s="628"/>
      <c r="J402" s="629"/>
      <c r="K402" s="629"/>
      <c r="L402" s="629"/>
      <c r="M402" s="629"/>
      <c r="N402" s="629"/>
      <c r="O402" s="618"/>
      <c r="P402" s="618"/>
      <c r="Q402" s="618"/>
      <c r="R402" s="618"/>
      <c r="S402" s="618"/>
      <c r="T402" s="618"/>
      <c r="U402" s="618"/>
      <c r="Y402" s="619"/>
    </row>
    <row r="403" spans="1:25" x14ac:dyDescent="0.2">
      <c r="A403" s="615"/>
      <c r="B403" s="615"/>
      <c r="C403" s="615"/>
      <c r="D403" s="615"/>
      <c r="E403" s="615"/>
      <c r="F403" s="627"/>
      <c r="G403" s="627"/>
      <c r="H403" s="627"/>
      <c r="I403" s="628"/>
      <c r="J403" s="629"/>
      <c r="K403" s="629"/>
      <c r="L403" s="629"/>
      <c r="M403" s="629"/>
      <c r="N403" s="629"/>
      <c r="O403" s="618"/>
      <c r="P403" s="618"/>
      <c r="Q403" s="618"/>
      <c r="R403" s="618"/>
      <c r="S403" s="618"/>
      <c r="T403" s="618"/>
      <c r="U403" s="618"/>
      <c r="Y403" s="619"/>
    </row>
    <row r="404" spans="1:25" x14ac:dyDescent="0.2">
      <c r="A404" s="615"/>
      <c r="B404" s="615"/>
      <c r="C404" s="615"/>
      <c r="D404" s="615"/>
      <c r="E404" s="615"/>
      <c r="F404" s="627"/>
      <c r="G404" s="627"/>
      <c r="H404" s="627"/>
      <c r="I404" s="628"/>
      <c r="J404" s="629"/>
      <c r="K404" s="629"/>
      <c r="L404" s="629"/>
      <c r="M404" s="629"/>
      <c r="N404" s="629"/>
      <c r="O404" s="618"/>
      <c r="P404" s="618"/>
      <c r="Q404" s="618"/>
      <c r="R404" s="618"/>
      <c r="S404" s="618"/>
      <c r="T404" s="618"/>
      <c r="U404" s="618"/>
      <c r="Y404" s="619"/>
    </row>
    <row r="405" spans="1:25" x14ac:dyDescent="0.2">
      <c r="A405" s="615"/>
      <c r="B405" s="615"/>
      <c r="C405" s="615"/>
      <c r="D405" s="615"/>
      <c r="E405" s="615"/>
      <c r="F405" s="627"/>
      <c r="G405" s="627"/>
      <c r="H405" s="627"/>
      <c r="I405" s="628"/>
      <c r="J405" s="629"/>
      <c r="K405" s="629"/>
      <c r="L405" s="629"/>
      <c r="M405" s="629"/>
      <c r="N405" s="629"/>
      <c r="O405" s="618"/>
      <c r="P405" s="618"/>
      <c r="Q405" s="618"/>
      <c r="R405" s="618"/>
      <c r="S405" s="618"/>
      <c r="T405" s="618"/>
      <c r="U405" s="618"/>
      <c r="Y405" s="619"/>
    </row>
    <row r="406" spans="1:25" x14ac:dyDescent="0.2">
      <c r="A406" s="615"/>
      <c r="B406" s="615"/>
      <c r="C406" s="615"/>
      <c r="D406" s="615"/>
      <c r="E406" s="615"/>
      <c r="F406" s="627"/>
      <c r="G406" s="627"/>
      <c r="H406" s="627"/>
      <c r="I406" s="628"/>
      <c r="J406" s="629"/>
      <c r="K406" s="629"/>
      <c r="L406" s="629"/>
      <c r="M406" s="629"/>
      <c r="N406" s="629"/>
      <c r="O406" s="618"/>
      <c r="P406" s="618"/>
      <c r="Q406" s="618"/>
      <c r="R406" s="618"/>
      <c r="S406" s="618"/>
      <c r="T406" s="618"/>
      <c r="U406" s="618"/>
      <c r="Y406" s="619"/>
    </row>
    <row r="407" spans="1:25" x14ac:dyDescent="0.2">
      <c r="A407" s="615"/>
      <c r="B407" s="615"/>
      <c r="C407" s="615"/>
      <c r="D407" s="615"/>
      <c r="E407" s="615"/>
      <c r="F407" s="627"/>
      <c r="G407" s="627"/>
      <c r="H407" s="627"/>
      <c r="I407" s="628"/>
      <c r="J407" s="629"/>
      <c r="K407" s="629"/>
      <c r="L407" s="629"/>
      <c r="M407" s="629"/>
      <c r="N407" s="629"/>
      <c r="O407" s="618"/>
      <c r="P407" s="618"/>
      <c r="Q407" s="618"/>
      <c r="R407" s="618"/>
      <c r="S407" s="618"/>
      <c r="T407" s="618"/>
      <c r="U407" s="618"/>
      <c r="Y407" s="619"/>
    </row>
    <row r="408" spans="1:25" x14ac:dyDescent="0.2">
      <c r="A408" s="615"/>
      <c r="B408" s="615"/>
      <c r="C408" s="615"/>
      <c r="D408" s="615"/>
      <c r="E408" s="615"/>
      <c r="F408" s="627"/>
      <c r="G408" s="627"/>
      <c r="H408" s="627"/>
      <c r="I408" s="628"/>
      <c r="J408" s="629"/>
      <c r="K408" s="629"/>
      <c r="L408" s="629"/>
      <c r="M408" s="629"/>
      <c r="N408" s="629"/>
      <c r="O408" s="618"/>
      <c r="P408" s="618"/>
      <c r="Q408" s="618"/>
      <c r="R408" s="618"/>
      <c r="S408" s="618"/>
      <c r="T408" s="618"/>
      <c r="U408" s="618"/>
      <c r="Y408" s="619"/>
    </row>
    <row r="409" spans="1:25" x14ac:dyDescent="0.2">
      <c r="A409" s="615"/>
      <c r="B409" s="615"/>
      <c r="C409" s="615"/>
      <c r="D409" s="615"/>
      <c r="E409" s="615"/>
      <c r="F409" s="627"/>
      <c r="G409" s="627"/>
      <c r="H409" s="627"/>
      <c r="I409" s="628"/>
      <c r="J409" s="629"/>
      <c r="K409" s="629"/>
      <c r="L409" s="629"/>
      <c r="M409" s="629"/>
      <c r="N409" s="629"/>
      <c r="O409" s="618"/>
      <c r="P409" s="618"/>
      <c r="Q409" s="618"/>
      <c r="R409" s="618"/>
      <c r="S409" s="618"/>
      <c r="T409" s="618"/>
      <c r="U409" s="618"/>
      <c r="Y409" s="619"/>
    </row>
    <row r="410" spans="1:25" x14ac:dyDescent="0.2">
      <c r="A410" s="615"/>
      <c r="B410" s="615"/>
      <c r="C410" s="615"/>
      <c r="D410" s="615"/>
      <c r="E410" s="615"/>
      <c r="F410" s="627"/>
      <c r="G410" s="627"/>
      <c r="H410" s="627"/>
      <c r="I410" s="628"/>
      <c r="J410" s="629"/>
      <c r="K410" s="629"/>
      <c r="L410" s="629"/>
      <c r="M410" s="629"/>
      <c r="N410" s="629"/>
      <c r="O410" s="618"/>
      <c r="P410" s="618"/>
      <c r="Q410" s="618"/>
      <c r="R410" s="618"/>
      <c r="S410" s="618"/>
      <c r="T410" s="618"/>
      <c r="U410" s="618"/>
      <c r="Y410" s="619"/>
    </row>
    <row r="411" spans="1:25" x14ac:dyDescent="0.2">
      <c r="A411" s="615"/>
      <c r="B411" s="615"/>
      <c r="C411" s="615"/>
      <c r="D411" s="615"/>
      <c r="E411" s="615"/>
      <c r="F411" s="627"/>
      <c r="G411" s="627"/>
      <c r="H411" s="627"/>
      <c r="I411" s="628"/>
      <c r="J411" s="629"/>
      <c r="K411" s="629"/>
      <c r="L411" s="629"/>
      <c r="M411" s="629"/>
      <c r="N411" s="629"/>
      <c r="O411" s="618"/>
      <c r="P411" s="618"/>
      <c r="Q411" s="618"/>
      <c r="R411" s="618"/>
      <c r="S411" s="618"/>
      <c r="T411" s="618"/>
      <c r="U411" s="618"/>
      <c r="Y411" s="619"/>
    </row>
    <row r="412" spans="1:25" x14ac:dyDescent="0.2">
      <c r="A412" s="615"/>
      <c r="B412" s="615"/>
      <c r="C412" s="615"/>
      <c r="D412" s="615"/>
      <c r="E412" s="615"/>
      <c r="F412" s="627"/>
      <c r="G412" s="627"/>
      <c r="H412" s="627"/>
      <c r="I412" s="628"/>
      <c r="J412" s="629"/>
      <c r="K412" s="629"/>
      <c r="L412" s="629"/>
      <c r="M412" s="629"/>
      <c r="N412" s="629"/>
      <c r="O412" s="618"/>
      <c r="P412" s="618"/>
      <c r="Q412" s="618"/>
      <c r="R412" s="618"/>
      <c r="S412" s="618"/>
      <c r="T412" s="618"/>
      <c r="U412" s="618"/>
      <c r="Y412" s="619"/>
    </row>
    <row r="413" spans="1:25" x14ac:dyDescent="0.2">
      <c r="A413" s="615"/>
      <c r="B413" s="615"/>
      <c r="C413" s="615"/>
      <c r="D413" s="615"/>
      <c r="E413" s="615"/>
      <c r="F413" s="627"/>
      <c r="G413" s="627"/>
      <c r="H413" s="627"/>
      <c r="I413" s="628"/>
      <c r="J413" s="629"/>
      <c r="K413" s="629"/>
      <c r="L413" s="629"/>
      <c r="M413" s="629"/>
      <c r="N413" s="629"/>
      <c r="O413" s="618"/>
      <c r="P413" s="618"/>
      <c r="Q413" s="618"/>
      <c r="R413" s="618"/>
      <c r="S413" s="618"/>
      <c r="T413" s="618"/>
      <c r="U413" s="618"/>
      <c r="Y413" s="619"/>
    </row>
    <row r="414" spans="1:25" x14ac:dyDescent="0.2">
      <c r="A414" s="615"/>
      <c r="B414" s="615"/>
      <c r="C414" s="615"/>
      <c r="D414" s="615"/>
      <c r="E414" s="615"/>
      <c r="F414" s="627"/>
      <c r="G414" s="627"/>
      <c r="H414" s="627"/>
      <c r="I414" s="628"/>
      <c r="J414" s="629"/>
      <c r="K414" s="629"/>
      <c r="L414" s="629"/>
      <c r="M414" s="629"/>
      <c r="N414" s="629"/>
      <c r="O414" s="618"/>
      <c r="P414" s="618"/>
      <c r="Q414" s="618"/>
      <c r="R414" s="618"/>
      <c r="S414" s="618"/>
      <c r="T414" s="618"/>
      <c r="U414" s="618"/>
      <c r="Y414" s="619"/>
    </row>
    <row r="415" spans="1:25" x14ac:dyDescent="0.2">
      <c r="A415" s="615"/>
      <c r="B415" s="615"/>
      <c r="C415" s="615"/>
      <c r="D415" s="615"/>
      <c r="E415" s="615"/>
      <c r="F415" s="627"/>
      <c r="G415" s="627"/>
      <c r="H415" s="627"/>
      <c r="I415" s="628"/>
      <c r="J415" s="629"/>
      <c r="K415" s="629"/>
      <c r="L415" s="629"/>
      <c r="M415" s="629"/>
      <c r="N415" s="629"/>
      <c r="O415" s="618"/>
      <c r="P415" s="618"/>
      <c r="Q415" s="618"/>
      <c r="R415" s="618"/>
      <c r="S415" s="618"/>
      <c r="T415" s="618"/>
      <c r="U415" s="618"/>
      <c r="Y415" s="619"/>
    </row>
    <row r="416" spans="1:25" x14ac:dyDescent="0.2">
      <c r="A416" s="615"/>
      <c r="B416" s="615"/>
      <c r="C416" s="615"/>
      <c r="D416" s="615"/>
      <c r="E416" s="615"/>
      <c r="F416" s="627"/>
      <c r="G416" s="627"/>
      <c r="H416" s="627"/>
      <c r="I416" s="628"/>
      <c r="J416" s="629"/>
      <c r="K416" s="629"/>
      <c r="L416" s="629"/>
      <c r="M416" s="629"/>
      <c r="N416" s="629"/>
      <c r="O416" s="618"/>
      <c r="P416" s="618"/>
      <c r="Q416" s="618"/>
      <c r="R416" s="618"/>
      <c r="S416" s="618"/>
      <c r="T416" s="618"/>
      <c r="U416" s="618"/>
      <c r="Y416" s="619"/>
    </row>
    <row r="417" spans="1:25" x14ac:dyDescent="0.2">
      <c r="A417" s="615"/>
      <c r="B417" s="615"/>
      <c r="C417" s="615"/>
      <c r="D417" s="615"/>
      <c r="E417" s="615"/>
      <c r="F417" s="627"/>
      <c r="G417" s="627"/>
      <c r="H417" s="627"/>
      <c r="I417" s="628"/>
      <c r="J417" s="629"/>
      <c r="K417" s="629"/>
      <c r="L417" s="629"/>
      <c r="M417" s="629"/>
      <c r="N417" s="629"/>
      <c r="O417" s="618"/>
      <c r="P417" s="618"/>
      <c r="Q417" s="618"/>
      <c r="R417" s="618"/>
      <c r="S417" s="618"/>
      <c r="T417" s="618"/>
      <c r="U417" s="618"/>
      <c r="Y417" s="619"/>
    </row>
    <row r="418" spans="1:25" x14ac:dyDescent="0.2">
      <c r="A418" s="615"/>
      <c r="B418" s="615"/>
      <c r="C418" s="615"/>
      <c r="D418" s="615"/>
      <c r="E418" s="615"/>
      <c r="F418" s="627"/>
      <c r="G418" s="627"/>
      <c r="H418" s="627"/>
      <c r="I418" s="628"/>
      <c r="J418" s="629"/>
      <c r="K418" s="629"/>
      <c r="L418" s="629"/>
      <c r="M418" s="629"/>
      <c r="N418" s="629"/>
      <c r="O418" s="618"/>
      <c r="P418" s="618"/>
      <c r="Q418" s="618"/>
      <c r="R418" s="618"/>
      <c r="S418" s="618"/>
      <c r="T418" s="618"/>
      <c r="U418" s="618"/>
      <c r="Y418" s="619"/>
    </row>
    <row r="419" spans="1:25" x14ac:dyDescent="0.2">
      <c r="A419" s="615"/>
      <c r="B419" s="615"/>
      <c r="C419" s="615"/>
      <c r="D419" s="615"/>
      <c r="E419" s="615"/>
      <c r="F419" s="627"/>
      <c r="G419" s="627"/>
      <c r="H419" s="627"/>
      <c r="I419" s="628"/>
      <c r="J419" s="629"/>
      <c r="K419" s="629"/>
      <c r="L419" s="629"/>
      <c r="M419" s="629"/>
      <c r="N419" s="629"/>
      <c r="O419" s="618"/>
      <c r="P419" s="618"/>
      <c r="Q419" s="618"/>
      <c r="R419" s="618"/>
      <c r="S419" s="618"/>
      <c r="T419" s="618"/>
      <c r="U419" s="618"/>
      <c r="Y419" s="619"/>
    </row>
    <row r="420" spans="1:25" x14ac:dyDescent="0.2">
      <c r="A420" s="615"/>
      <c r="B420" s="615"/>
      <c r="C420" s="615"/>
      <c r="D420" s="615"/>
      <c r="E420" s="615"/>
      <c r="F420" s="627"/>
      <c r="G420" s="627"/>
      <c r="H420" s="627"/>
      <c r="I420" s="628"/>
      <c r="J420" s="629"/>
      <c r="K420" s="629"/>
      <c r="L420" s="629"/>
      <c r="M420" s="629"/>
      <c r="N420" s="629"/>
      <c r="O420" s="618"/>
      <c r="P420" s="618"/>
      <c r="Q420" s="618"/>
      <c r="R420" s="618"/>
      <c r="S420" s="618"/>
      <c r="T420" s="618"/>
      <c r="U420" s="618"/>
      <c r="Y420" s="619"/>
    </row>
    <row r="421" spans="1:25" x14ac:dyDescent="0.2">
      <c r="A421" s="615"/>
      <c r="B421" s="615"/>
      <c r="C421" s="615"/>
      <c r="D421" s="615"/>
      <c r="E421" s="615"/>
      <c r="F421" s="627"/>
      <c r="G421" s="627"/>
      <c r="H421" s="627"/>
      <c r="I421" s="628"/>
      <c r="J421" s="629"/>
      <c r="K421" s="629"/>
      <c r="L421" s="629"/>
      <c r="M421" s="629"/>
      <c r="N421" s="629"/>
      <c r="O421" s="618"/>
      <c r="P421" s="618"/>
      <c r="Q421" s="618"/>
      <c r="R421" s="618"/>
      <c r="S421" s="618"/>
      <c r="T421" s="618"/>
      <c r="U421" s="618"/>
      <c r="Y421" s="619"/>
    </row>
    <row r="422" spans="1:25" x14ac:dyDescent="0.2">
      <c r="A422" s="615"/>
      <c r="B422" s="615"/>
      <c r="C422" s="615"/>
      <c r="D422" s="615"/>
      <c r="E422" s="615"/>
      <c r="F422" s="627"/>
      <c r="G422" s="627"/>
      <c r="H422" s="627"/>
      <c r="I422" s="628"/>
      <c r="J422" s="629"/>
      <c r="K422" s="629"/>
      <c r="L422" s="629"/>
      <c r="M422" s="629"/>
      <c r="N422" s="629"/>
      <c r="O422" s="618"/>
      <c r="P422" s="618"/>
      <c r="Q422" s="618"/>
      <c r="R422" s="618"/>
      <c r="S422" s="618"/>
      <c r="T422" s="618"/>
      <c r="U422" s="618"/>
      <c r="Y422" s="619"/>
    </row>
    <row r="423" spans="1:25" x14ac:dyDescent="0.2">
      <c r="A423" s="615"/>
      <c r="B423" s="615"/>
      <c r="C423" s="615"/>
      <c r="D423" s="615"/>
      <c r="E423" s="615"/>
      <c r="F423" s="627"/>
      <c r="G423" s="627"/>
      <c r="H423" s="627"/>
      <c r="I423" s="628"/>
      <c r="J423" s="629"/>
      <c r="K423" s="629"/>
      <c r="L423" s="629"/>
      <c r="M423" s="629"/>
      <c r="N423" s="629"/>
      <c r="O423" s="618"/>
      <c r="P423" s="618"/>
      <c r="Q423" s="618"/>
      <c r="R423" s="618"/>
      <c r="S423" s="618"/>
      <c r="T423" s="618"/>
      <c r="U423" s="618"/>
      <c r="Y423" s="619"/>
    </row>
    <row r="424" spans="1:25" x14ac:dyDescent="0.2">
      <c r="A424" s="615"/>
      <c r="B424" s="615"/>
      <c r="C424" s="615"/>
      <c r="D424" s="615"/>
      <c r="E424" s="615"/>
      <c r="F424" s="627"/>
      <c r="G424" s="627"/>
      <c r="H424" s="627"/>
      <c r="I424" s="628"/>
      <c r="J424" s="629"/>
      <c r="K424" s="629"/>
      <c r="L424" s="629"/>
      <c r="M424" s="629"/>
      <c r="N424" s="629"/>
      <c r="O424" s="618"/>
      <c r="P424" s="618"/>
      <c r="Q424" s="618"/>
      <c r="R424" s="618"/>
      <c r="S424" s="618"/>
      <c r="T424" s="618"/>
      <c r="U424" s="618"/>
      <c r="Y424" s="619"/>
    </row>
    <row r="425" spans="1:25" x14ac:dyDescent="0.2">
      <c r="A425" s="615"/>
      <c r="B425" s="615"/>
      <c r="C425" s="615"/>
      <c r="D425" s="615"/>
      <c r="E425" s="615"/>
      <c r="F425" s="627"/>
      <c r="G425" s="627"/>
      <c r="H425" s="627"/>
      <c r="I425" s="628"/>
      <c r="J425" s="629"/>
      <c r="K425" s="629"/>
      <c r="L425" s="629"/>
      <c r="M425" s="629"/>
      <c r="N425" s="629"/>
      <c r="O425" s="618"/>
      <c r="P425" s="618"/>
      <c r="Q425" s="618"/>
      <c r="R425" s="618"/>
      <c r="S425" s="618"/>
      <c r="T425" s="618"/>
      <c r="U425" s="618"/>
      <c r="Y425" s="619"/>
    </row>
    <row r="426" spans="1:25" x14ac:dyDescent="0.2">
      <c r="A426" s="615"/>
      <c r="B426" s="615"/>
      <c r="C426" s="615"/>
      <c r="D426" s="615"/>
      <c r="E426" s="615"/>
      <c r="F426" s="627"/>
      <c r="G426" s="627"/>
      <c r="H426" s="627"/>
      <c r="I426" s="628"/>
      <c r="J426" s="629"/>
      <c r="K426" s="629"/>
      <c r="L426" s="629"/>
      <c r="M426" s="629"/>
      <c r="N426" s="629"/>
      <c r="O426" s="618"/>
      <c r="P426" s="618"/>
      <c r="Q426" s="618"/>
      <c r="R426" s="618"/>
      <c r="S426" s="618"/>
      <c r="T426" s="618"/>
      <c r="U426" s="618"/>
      <c r="Y426" s="619"/>
    </row>
    <row r="427" spans="1:25" x14ac:dyDescent="0.2">
      <c r="A427" s="615"/>
      <c r="B427" s="615"/>
      <c r="C427" s="615"/>
      <c r="D427" s="615"/>
      <c r="E427" s="615"/>
      <c r="F427" s="627"/>
      <c r="G427" s="627"/>
      <c r="H427" s="627"/>
      <c r="I427" s="628"/>
      <c r="J427" s="629"/>
      <c r="K427" s="629"/>
      <c r="L427" s="629"/>
      <c r="M427" s="629"/>
      <c r="N427" s="629"/>
      <c r="O427" s="618"/>
      <c r="P427" s="618"/>
      <c r="Q427" s="618"/>
      <c r="R427" s="618"/>
      <c r="S427" s="618"/>
      <c r="T427" s="618"/>
      <c r="U427" s="618"/>
      <c r="Y427" s="619"/>
    </row>
    <row r="428" spans="1:25" x14ac:dyDescent="0.2">
      <c r="A428" s="615"/>
      <c r="B428" s="615"/>
      <c r="C428" s="615"/>
      <c r="D428" s="615"/>
      <c r="E428" s="615"/>
      <c r="F428" s="627"/>
      <c r="G428" s="627"/>
      <c r="H428" s="627"/>
      <c r="I428" s="628"/>
      <c r="J428" s="629"/>
      <c r="K428" s="629"/>
      <c r="L428" s="629"/>
      <c r="M428" s="629"/>
      <c r="N428" s="629"/>
      <c r="O428" s="618"/>
      <c r="P428" s="618"/>
      <c r="Q428" s="618"/>
      <c r="R428" s="618"/>
      <c r="S428" s="618"/>
      <c r="T428" s="618"/>
      <c r="U428" s="618"/>
      <c r="Y428" s="619"/>
    </row>
    <row r="429" spans="1:25" x14ac:dyDescent="0.2">
      <c r="A429" s="615"/>
      <c r="B429" s="615"/>
      <c r="C429" s="615"/>
      <c r="D429" s="615"/>
      <c r="E429" s="615"/>
      <c r="F429" s="627"/>
      <c r="G429" s="627"/>
      <c r="H429" s="627"/>
      <c r="I429" s="628"/>
      <c r="J429" s="629"/>
      <c r="K429" s="629"/>
      <c r="L429" s="629"/>
      <c r="M429" s="629"/>
      <c r="N429" s="629"/>
      <c r="O429" s="618"/>
      <c r="P429" s="618"/>
      <c r="Q429" s="618"/>
      <c r="R429" s="618"/>
      <c r="S429" s="618"/>
      <c r="T429" s="618"/>
      <c r="U429" s="618"/>
      <c r="Y429" s="619"/>
    </row>
    <row r="430" spans="1:25" x14ac:dyDescent="0.2">
      <c r="A430" s="615"/>
      <c r="B430" s="615"/>
      <c r="C430" s="615"/>
      <c r="D430" s="615"/>
      <c r="E430" s="615"/>
      <c r="F430" s="627"/>
      <c r="G430" s="627"/>
      <c r="H430" s="627"/>
      <c r="I430" s="628"/>
      <c r="J430" s="629"/>
      <c r="K430" s="629"/>
      <c r="L430" s="629"/>
      <c r="M430" s="629"/>
      <c r="N430" s="629"/>
      <c r="O430" s="618"/>
      <c r="P430" s="618"/>
      <c r="Q430" s="618"/>
      <c r="R430" s="618"/>
      <c r="S430" s="618"/>
      <c r="T430" s="618"/>
      <c r="U430" s="618"/>
      <c r="Y430" s="619"/>
    </row>
    <row r="431" spans="1:25" x14ac:dyDescent="0.2">
      <c r="A431" s="615"/>
      <c r="B431" s="615"/>
      <c r="C431" s="615"/>
      <c r="D431" s="615"/>
      <c r="E431" s="615"/>
      <c r="F431" s="627"/>
      <c r="G431" s="627"/>
      <c r="H431" s="627"/>
      <c r="I431" s="628"/>
      <c r="J431" s="629"/>
      <c r="K431" s="629"/>
      <c r="L431" s="629"/>
      <c r="M431" s="629"/>
      <c r="N431" s="629"/>
      <c r="O431" s="618"/>
      <c r="P431" s="618"/>
      <c r="Q431" s="618"/>
      <c r="R431" s="618"/>
      <c r="S431" s="618"/>
      <c r="T431" s="618"/>
      <c r="U431" s="618"/>
      <c r="Y431" s="619"/>
    </row>
    <row r="432" spans="1:25" x14ac:dyDescent="0.2">
      <c r="A432" s="615"/>
      <c r="B432" s="615"/>
      <c r="C432" s="615"/>
      <c r="D432" s="615"/>
      <c r="E432" s="615"/>
      <c r="F432" s="627"/>
      <c r="G432" s="627"/>
      <c r="H432" s="627"/>
      <c r="I432" s="628"/>
      <c r="J432" s="629"/>
      <c r="K432" s="629"/>
      <c r="L432" s="629"/>
      <c r="M432" s="629"/>
      <c r="N432" s="629"/>
      <c r="O432" s="618"/>
      <c r="P432" s="618"/>
      <c r="Q432" s="618"/>
      <c r="R432" s="618"/>
      <c r="S432" s="618"/>
      <c r="T432" s="618"/>
      <c r="U432" s="618"/>
      <c r="Y432" s="619"/>
    </row>
    <row r="433" spans="1:25" x14ac:dyDescent="0.2">
      <c r="A433" s="615"/>
      <c r="B433" s="615"/>
      <c r="C433" s="615"/>
      <c r="D433" s="615"/>
      <c r="E433" s="615"/>
      <c r="F433" s="627"/>
      <c r="G433" s="627"/>
      <c r="H433" s="627"/>
      <c r="I433" s="628"/>
      <c r="J433" s="629"/>
      <c r="K433" s="629"/>
      <c r="L433" s="629"/>
      <c r="M433" s="629"/>
      <c r="N433" s="629"/>
      <c r="O433" s="618"/>
      <c r="P433" s="618"/>
      <c r="Q433" s="618"/>
      <c r="R433" s="618"/>
      <c r="S433" s="618"/>
      <c r="T433" s="618"/>
      <c r="U433" s="618"/>
      <c r="Y433" s="619"/>
    </row>
    <row r="434" spans="1:25" x14ac:dyDescent="0.2">
      <c r="A434" s="615"/>
      <c r="B434" s="615"/>
      <c r="C434" s="615"/>
      <c r="D434" s="615"/>
      <c r="E434" s="615"/>
      <c r="F434" s="627"/>
      <c r="G434" s="627"/>
      <c r="H434" s="627"/>
      <c r="I434" s="628"/>
      <c r="J434" s="629"/>
      <c r="K434" s="629"/>
      <c r="L434" s="629"/>
      <c r="M434" s="629"/>
      <c r="N434" s="629"/>
      <c r="O434" s="618"/>
      <c r="P434" s="618"/>
      <c r="Q434" s="618"/>
      <c r="R434" s="618"/>
      <c r="S434" s="618"/>
      <c r="T434" s="618"/>
      <c r="U434" s="618"/>
      <c r="Y434" s="619"/>
    </row>
    <row r="435" spans="1:25" x14ac:dyDescent="0.2">
      <c r="A435" s="615"/>
      <c r="B435" s="615"/>
      <c r="C435" s="615"/>
      <c r="D435" s="615"/>
      <c r="E435" s="615"/>
      <c r="F435" s="627"/>
      <c r="G435" s="627"/>
      <c r="H435" s="627"/>
      <c r="I435" s="628"/>
      <c r="J435" s="629"/>
      <c r="K435" s="629"/>
      <c r="L435" s="629"/>
      <c r="M435" s="629"/>
      <c r="N435" s="629"/>
      <c r="O435" s="618"/>
      <c r="P435" s="618"/>
      <c r="Q435" s="618"/>
      <c r="R435" s="618"/>
      <c r="S435" s="618"/>
      <c r="T435" s="618"/>
      <c r="U435" s="618"/>
      <c r="Y435" s="619"/>
    </row>
    <row r="436" spans="1:25" x14ac:dyDescent="0.2">
      <c r="A436" s="615"/>
      <c r="B436" s="615"/>
      <c r="C436" s="615"/>
      <c r="D436" s="615"/>
      <c r="E436" s="615"/>
      <c r="F436" s="627"/>
      <c r="G436" s="627"/>
      <c r="H436" s="627"/>
      <c r="I436" s="628"/>
      <c r="J436" s="629"/>
      <c r="K436" s="629"/>
      <c r="L436" s="629"/>
      <c r="M436" s="629"/>
      <c r="N436" s="629"/>
      <c r="O436" s="618"/>
      <c r="P436" s="618"/>
      <c r="Q436" s="618"/>
      <c r="R436" s="618"/>
      <c r="S436" s="618"/>
      <c r="T436" s="618"/>
      <c r="U436" s="618"/>
      <c r="Y436" s="619"/>
    </row>
    <row r="437" spans="1:25" x14ac:dyDescent="0.2">
      <c r="A437" s="615"/>
      <c r="B437" s="615"/>
      <c r="C437" s="615"/>
      <c r="D437" s="615"/>
      <c r="E437" s="615"/>
      <c r="F437" s="627"/>
      <c r="G437" s="627"/>
      <c r="H437" s="627"/>
      <c r="I437" s="628"/>
      <c r="J437" s="629"/>
      <c r="K437" s="629"/>
      <c r="L437" s="629"/>
      <c r="M437" s="629"/>
      <c r="N437" s="629"/>
      <c r="O437" s="618"/>
      <c r="P437" s="618"/>
      <c r="Q437" s="618"/>
      <c r="R437" s="618"/>
      <c r="S437" s="618"/>
      <c r="T437" s="618"/>
      <c r="U437" s="618"/>
      <c r="Y437" s="619"/>
    </row>
    <row r="438" spans="1:25" x14ac:dyDescent="0.2">
      <c r="A438" s="615"/>
      <c r="B438" s="615"/>
      <c r="C438" s="615"/>
      <c r="D438" s="615"/>
      <c r="E438" s="615"/>
      <c r="F438" s="627"/>
      <c r="G438" s="627"/>
      <c r="H438" s="627"/>
      <c r="I438" s="628"/>
      <c r="J438" s="629"/>
      <c r="K438" s="629"/>
      <c r="L438" s="629"/>
      <c r="M438" s="629"/>
      <c r="N438" s="629"/>
      <c r="O438" s="618"/>
      <c r="P438" s="618"/>
      <c r="Q438" s="618"/>
      <c r="R438" s="618"/>
      <c r="S438" s="618"/>
      <c r="T438" s="618"/>
      <c r="U438" s="618"/>
      <c r="Y438" s="619"/>
    </row>
    <row r="439" spans="1:25" x14ac:dyDescent="0.2">
      <c r="A439" s="615"/>
      <c r="B439" s="615"/>
      <c r="C439" s="615"/>
      <c r="D439" s="615"/>
      <c r="E439" s="615"/>
      <c r="F439" s="627"/>
      <c r="G439" s="627"/>
      <c r="H439" s="627"/>
      <c r="I439" s="628"/>
      <c r="J439" s="629"/>
      <c r="K439" s="629"/>
      <c r="L439" s="629"/>
      <c r="M439" s="629"/>
      <c r="N439" s="629"/>
      <c r="O439" s="618"/>
      <c r="P439" s="618"/>
      <c r="Q439" s="618"/>
      <c r="R439" s="618"/>
      <c r="S439" s="618"/>
      <c r="T439" s="618"/>
      <c r="U439" s="618"/>
      <c r="Y439" s="619"/>
    </row>
    <row r="440" spans="1:25" x14ac:dyDescent="0.2">
      <c r="A440" s="615"/>
      <c r="B440" s="615"/>
      <c r="C440" s="615"/>
      <c r="D440" s="615"/>
      <c r="E440" s="615"/>
      <c r="F440" s="627"/>
      <c r="G440" s="627"/>
      <c r="H440" s="627"/>
      <c r="I440" s="628"/>
      <c r="J440" s="629"/>
      <c r="K440" s="629"/>
      <c r="L440" s="629"/>
      <c r="M440" s="629"/>
      <c r="N440" s="629"/>
      <c r="O440" s="618"/>
      <c r="P440" s="618"/>
      <c r="Q440" s="618"/>
      <c r="R440" s="618"/>
      <c r="S440" s="618"/>
      <c r="T440" s="618"/>
      <c r="U440" s="618"/>
      <c r="Y440" s="619"/>
    </row>
    <row r="441" spans="1:25" x14ac:dyDescent="0.2">
      <c r="A441" s="615"/>
      <c r="B441" s="615"/>
      <c r="C441" s="615"/>
      <c r="D441" s="615"/>
      <c r="E441" s="615"/>
      <c r="F441" s="627"/>
      <c r="G441" s="627"/>
      <c r="H441" s="627"/>
      <c r="I441" s="628"/>
      <c r="J441" s="629"/>
      <c r="K441" s="629"/>
      <c r="L441" s="629"/>
      <c r="M441" s="629"/>
      <c r="N441" s="629"/>
      <c r="O441" s="618"/>
      <c r="P441" s="618"/>
      <c r="Q441" s="618"/>
      <c r="R441" s="618"/>
      <c r="S441" s="618"/>
      <c r="T441" s="618"/>
      <c r="U441" s="618"/>
      <c r="Y441" s="619"/>
    </row>
    <row r="442" spans="1:25" x14ac:dyDescent="0.2">
      <c r="A442" s="615"/>
      <c r="B442" s="615"/>
      <c r="C442" s="615"/>
      <c r="D442" s="615"/>
      <c r="E442" s="615"/>
      <c r="F442" s="627"/>
      <c r="G442" s="627"/>
      <c r="H442" s="627"/>
      <c r="I442" s="628"/>
      <c r="J442" s="629"/>
      <c r="K442" s="629"/>
      <c r="L442" s="629"/>
      <c r="M442" s="629"/>
      <c r="N442" s="629"/>
      <c r="O442" s="618"/>
      <c r="P442" s="618"/>
      <c r="Q442" s="618"/>
      <c r="R442" s="618"/>
      <c r="S442" s="618"/>
      <c r="T442" s="618"/>
      <c r="U442" s="618"/>
      <c r="Y442" s="619"/>
    </row>
    <row r="443" spans="1:25" x14ac:dyDescent="0.2">
      <c r="A443" s="615"/>
      <c r="B443" s="615"/>
      <c r="C443" s="615"/>
      <c r="D443" s="615"/>
      <c r="E443" s="615"/>
      <c r="F443" s="627"/>
      <c r="G443" s="627"/>
      <c r="H443" s="627"/>
      <c r="I443" s="628"/>
      <c r="J443" s="629"/>
      <c r="K443" s="629"/>
      <c r="L443" s="629"/>
      <c r="M443" s="629"/>
      <c r="N443" s="629"/>
      <c r="O443" s="618"/>
      <c r="P443" s="618"/>
      <c r="Q443" s="618"/>
      <c r="R443" s="618"/>
      <c r="S443" s="618"/>
      <c r="T443" s="618"/>
      <c r="U443" s="618"/>
      <c r="Y443" s="619"/>
    </row>
    <row r="444" spans="1:25" x14ac:dyDescent="0.2">
      <c r="A444" s="615"/>
      <c r="B444" s="615"/>
      <c r="C444" s="615"/>
      <c r="D444" s="615"/>
      <c r="E444" s="615"/>
      <c r="F444" s="627"/>
      <c r="G444" s="627"/>
      <c r="H444" s="627"/>
      <c r="I444" s="628"/>
      <c r="J444" s="629"/>
      <c r="K444" s="629"/>
      <c r="L444" s="629"/>
      <c r="M444" s="629"/>
      <c r="N444" s="629"/>
      <c r="O444" s="618"/>
      <c r="P444" s="618"/>
      <c r="Q444" s="618"/>
      <c r="R444" s="618"/>
      <c r="S444" s="618"/>
      <c r="T444" s="618"/>
      <c r="U444" s="618"/>
      <c r="Y444" s="619"/>
    </row>
    <row r="445" spans="1:25" x14ac:dyDescent="0.2">
      <c r="A445" s="615"/>
      <c r="B445" s="615"/>
      <c r="C445" s="615"/>
      <c r="D445" s="615"/>
      <c r="E445" s="615"/>
      <c r="F445" s="627"/>
      <c r="G445" s="627"/>
      <c r="H445" s="627"/>
      <c r="I445" s="628"/>
      <c r="J445" s="629"/>
      <c r="K445" s="629"/>
      <c r="L445" s="629"/>
      <c r="M445" s="629"/>
      <c r="N445" s="629"/>
      <c r="O445" s="618"/>
      <c r="P445" s="618"/>
      <c r="Q445" s="618"/>
      <c r="R445" s="618"/>
      <c r="S445" s="618"/>
      <c r="T445" s="618"/>
      <c r="U445" s="618"/>
      <c r="Y445" s="619"/>
    </row>
    <row r="446" spans="1:25" x14ac:dyDescent="0.2">
      <c r="A446" s="615"/>
      <c r="B446" s="615"/>
      <c r="C446" s="615"/>
      <c r="D446" s="615"/>
      <c r="E446" s="615"/>
      <c r="F446" s="627"/>
      <c r="G446" s="627"/>
      <c r="H446" s="627"/>
      <c r="I446" s="628"/>
      <c r="J446" s="629"/>
      <c r="K446" s="629"/>
      <c r="L446" s="629"/>
      <c r="M446" s="629"/>
      <c r="N446" s="629"/>
      <c r="O446" s="618"/>
      <c r="P446" s="618"/>
      <c r="Q446" s="618"/>
      <c r="R446" s="618"/>
      <c r="S446" s="618"/>
      <c r="T446" s="618"/>
      <c r="U446" s="618"/>
      <c r="Y446" s="619"/>
    </row>
    <row r="447" spans="1:25" x14ac:dyDescent="0.2">
      <c r="A447" s="615"/>
      <c r="B447" s="615"/>
      <c r="C447" s="615"/>
      <c r="D447" s="615"/>
      <c r="E447" s="615"/>
      <c r="F447" s="627"/>
      <c r="G447" s="627"/>
      <c r="H447" s="627"/>
      <c r="I447" s="628"/>
      <c r="J447" s="629"/>
      <c r="K447" s="629"/>
      <c r="L447" s="629"/>
      <c r="M447" s="629"/>
      <c r="N447" s="629"/>
      <c r="O447" s="618"/>
      <c r="P447" s="618"/>
      <c r="Q447" s="618"/>
      <c r="R447" s="618"/>
      <c r="S447" s="618"/>
      <c r="T447" s="618"/>
      <c r="U447" s="618"/>
      <c r="Y447" s="619"/>
    </row>
    <row r="448" spans="1:25" x14ac:dyDescent="0.2">
      <c r="A448" s="615"/>
      <c r="B448" s="615"/>
      <c r="C448" s="615"/>
      <c r="D448" s="615"/>
      <c r="E448" s="615"/>
      <c r="F448" s="627"/>
      <c r="G448" s="627"/>
      <c r="H448" s="627"/>
      <c r="I448" s="628"/>
      <c r="J448" s="629"/>
      <c r="K448" s="629"/>
      <c r="L448" s="629"/>
      <c r="M448" s="629"/>
      <c r="N448" s="629"/>
      <c r="O448" s="618"/>
      <c r="P448" s="618"/>
      <c r="Q448" s="618"/>
      <c r="R448" s="618"/>
      <c r="S448" s="618"/>
      <c r="T448" s="618"/>
      <c r="U448" s="618"/>
      <c r="Y448" s="619"/>
    </row>
    <row r="449" spans="1:25" x14ac:dyDescent="0.2">
      <c r="A449" s="615"/>
      <c r="B449" s="615"/>
      <c r="C449" s="615"/>
      <c r="D449" s="615"/>
      <c r="E449" s="615"/>
      <c r="F449" s="627"/>
      <c r="G449" s="627"/>
      <c r="H449" s="627"/>
      <c r="I449" s="628"/>
      <c r="J449" s="629"/>
      <c r="K449" s="629"/>
      <c r="L449" s="629"/>
      <c r="M449" s="629"/>
      <c r="N449" s="629"/>
      <c r="O449" s="618"/>
      <c r="P449" s="618"/>
      <c r="Q449" s="618"/>
      <c r="R449" s="618"/>
      <c r="S449" s="618"/>
      <c r="T449" s="618"/>
      <c r="U449" s="618"/>
      <c r="Y449" s="619"/>
    </row>
    <row r="450" spans="1:25" x14ac:dyDescent="0.2">
      <c r="A450" s="615"/>
      <c r="B450" s="615"/>
      <c r="C450" s="615"/>
      <c r="D450" s="615"/>
      <c r="E450" s="615"/>
      <c r="F450" s="627"/>
      <c r="G450" s="627"/>
      <c r="H450" s="627"/>
      <c r="I450" s="628"/>
      <c r="J450" s="629"/>
      <c r="K450" s="629"/>
      <c r="L450" s="629"/>
      <c r="M450" s="629"/>
      <c r="N450" s="629"/>
      <c r="O450" s="618"/>
      <c r="P450" s="618"/>
      <c r="Q450" s="618"/>
      <c r="R450" s="618"/>
      <c r="S450" s="618"/>
      <c r="T450" s="618"/>
      <c r="U450" s="618"/>
      <c r="Y450" s="619"/>
    </row>
    <row r="451" spans="1:25" x14ac:dyDescent="0.2">
      <c r="A451" s="615"/>
      <c r="B451" s="615"/>
      <c r="C451" s="615"/>
      <c r="D451" s="615"/>
      <c r="E451" s="615"/>
      <c r="F451" s="627"/>
      <c r="G451" s="627"/>
      <c r="H451" s="627"/>
      <c r="I451" s="628"/>
      <c r="J451" s="629"/>
      <c r="K451" s="629"/>
      <c r="L451" s="629"/>
      <c r="M451" s="629"/>
      <c r="N451" s="629"/>
      <c r="O451" s="618"/>
      <c r="P451" s="618"/>
      <c r="Q451" s="618"/>
      <c r="R451" s="618"/>
      <c r="S451" s="618"/>
      <c r="T451" s="618"/>
      <c r="U451" s="618"/>
      <c r="Y451" s="619"/>
    </row>
    <row r="452" spans="1:25" x14ac:dyDescent="0.2">
      <c r="A452" s="615"/>
      <c r="B452" s="615"/>
      <c r="C452" s="615"/>
      <c r="D452" s="615"/>
      <c r="E452" s="615"/>
      <c r="F452" s="627"/>
      <c r="G452" s="627"/>
      <c r="H452" s="627"/>
      <c r="I452" s="628"/>
      <c r="J452" s="629"/>
      <c r="K452" s="629"/>
      <c r="L452" s="629"/>
      <c r="M452" s="629"/>
      <c r="N452" s="629"/>
      <c r="O452" s="618"/>
      <c r="P452" s="618"/>
      <c r="Q452" s="618"/>
      <c r="R452" s="618"/>
      <c r="S452" s="618"/>
      <c r="T452" s="618"/>
      <c r="U452" s="618"/>
      <c r="Y452" s="619"/>
    </row>
    <row r="453" spans="1:25" x14ac:dyDescent="0.2">
      <c r="A453" s="615"/>
      <c r="B453" s="615"/>
      <c r="C453" s="615"/>
      <c r="D453" s="615"/>
      <c r="E453" s="615"/>
      <c r="F453" s="627"/>
      <c r="G453" s="627"/>
      <c r="H453" s="627"/>
      <c r="I453" s="628"/>
      <c r="J453" s="629"/>
      <c r="K453" s="629"/>
      <c r="L453" s="629"/>
      <c r="M453" s="629"/>
      <c r="N453" s="629"/>
      <c r="O453" s="618"/>
      <c r="P453" s="618"/>
      <c r="Q453" s="618"/>
      <c r="R453" s="618"/>
      <c r="S453" s="618"/>
      <c r="T453" s="618"/>
      <c r="U453" s="618"/>
      <c r="Y453" s="619"/>
    </row>
    <row r="454" spans="1:25" x14ac:dyDescent="0.2">
      <c r="A454" s="615"/>
      <c r="B454" s="615"/>
      <c r="C454" s="615"/>
      <c r="D454" s="615"/>
      <c r="E454" s="615"/>
      <c r="F454" s="627"/>
      <c r="G454" s="627"/>
      <c r="H454" s="627"/>
      <c r="I454" s="628"/>
      <c r="J454" s="629"/>
      <c r="K454" s="629"/>
      <c r="L454" s="629"/>
      <c r="M454" s="629"/>
      <c r="N454" s="629"/>
      <c r="O454" s="618"/>
      <c r="P454" s="618"/>
      <c r="Q454" s="618"/>
      <c r="R454" s="618"/>
      <c r="S454" s="618"/>
      <c r="T454" s="618"/>
      <c r="U454" s="618"/>
      <c r="Y454" s="619"/>
    </row>
    <row r="455" spans="1:25" x14ac:dyDescent="0.2">
      <c r="A455" s="615"/>
      <c r="B455" s="615"/>
      <c r="C455" s="615"/>
      <c r="D455" s="615"/>
      <c r="E455" s="615"/>
      <c r="F455" s="627"/>
      <c r="G455" s="627"/>
      <c r="H455" s="627"/>
      <c r="I455" s="628"/>
      <c r="J455" s="629"/>
      <c r="K455" s="629"/>
      <c r="L455" s="629"/>
      <c r="M455" s="629"/>
      <c r="N455" s="629"/>
      <c r="O455" s="618"/>
      <c r="P455" s="618"/>
      <c r="Q455" s="618"/>
      <c r="R455" s="618"/>
      <c r="S455" s="618"/>
      <c r="T455" s="618"/>
      <c r="U455" s="618"/>
      <c r="Y455" s="619"/>
    </row>
    <row r="456" spans="1:25" x14ac:dyDescent="0.2">
      <c r="A456" s="615"/>
      <c r="B456" s="615"/>
      <c r="C456" s="615"/>
      <c r="D456" s="615"/>
      <c r="E456" s="615"/>
      <c r="F456" s="627"/>
      <c r="G456" s="627"/>
      <c r="H456" s="627"/>
      <c r="I456" s="628"/>
      <c r="J456" s="629"/>
      <c r="K456" s="629"/>
      <c r="L456" s="629"/>
      <c r="M456" s="629"/>
      <c r="N456" s="629"/>
      <c r="O456" s="618"/>
      <c r="P456" s="618"/>
      <c r="Q456" s="618"/>
      <c r="R456" s="618"/>
      <c r="S456" s="618"/>
      <c r="T456" s="618"/>
      <c r="U456" s="618"/>
      <c r="Y456" s="619"/>
    </row>
    <row r="457" spans="1:25" x14ac:dyDescent="0.2">
      <c r="A457" s="615"/>
      <c r="B457" s="615"/>
      <c r="C457" s="615"/>
      <c r="D457" s="615"/>
      <c r="E457" s="615"/>
      <c r="F457" s="627"/>
      <c r="G457" s="627"/>
      <c r="H457" s="627"/>
      <c r="I457" s="628"/>
      <c r="J457" s="629"/>
      <c r="K457" s="629"/>
      <c r="L457" s="629"/>
      <c r="M457" s="629"/>
      <c r="N457" s="629"/>
      <c r="O457" s="618"/>
      <c r="P457" s="618"/>
      <c r="Q457" s="618"/>
      <c r="R457" s="618"/>
      <c r="S457" s="618"/>
      <c r="T457" s="618"/>
      <c r="U457" s="618"/>
      <c r="Y457" s="619"/>
    </row>
    <row r="458" spans="1:25" x14ac:dyDescent="0.2">
      <c r="A458" s="615"/>
      <c r="B458" s="615"/>
      <c r="C458" s="615"/>
      <c r="D458" s="615"/>
      <c r="E458" s="615"/>
      <c r="F458" s="627"/>
      <c r="G458" s="627"/>
      <c r="H458" s="627"/>
      <c r="I458" s="628"/>
      <c r="J458" s="629"/>
      <c r="K458" s="629"/>
      <c r="L458" s="629"/>
      <c r="M458" s="629"/>
      <c r="N458" s="629"/>
      <c r="O458" s="618"/>
      <c r="P458" s="618"/>
      <c r="Q458" s="618"/>
      <c r="R458" s="618"/>
      <c r="S458" s="618"/>
      <c r="T458" s="618"/>
      <c r="U458" s="618"/>
      <c r="Y458" s="619"/>
    </row>
    <row r="459" spans="1:25" x14ac:dyDescent="0.2">
      <c r="A459" s="615"/>
      <c r="B459" s="615"/>
      <c r="C459" s="615"/>
      <c r="D459" s="615"/>
      <c r="E459" s="615"/>
      <c r="F459" s="627"/>
      <c r="G459" s="627"/>
      <c r="H459" s="627"/>
      <c r="I459" s="628"/>
      <c r="J459" s="629"/>
      <c r="K459" s="629"/>
      <c r="L459" s="629"/>
      <c r="M459" s="629"/>
      <c r="N459" s="629"/>
      <c r="O459" s="618"/>
      <c r="P459" s="618"/>
      <c r="Q459" s="618"/>
      <c r="R459" s="618"/>
      <c r="S459" s="618"/>
      <c r="T459" s="618"/>
      <c r="U459" s="618"/>
      <c r="Y459" s="619"/>
    </row>
    <row r="460" spans="1:25" x14ac:dyDescent="0.2">
      <c r="A460" s="615"/>
      <c r="B460" s="615"/>
      <c r="C460" s="615"/>
      <c r="D460" s="615"/>
      <c r="E460" s="615"/>
      <c r="F460" s="627"/>
      <c r="G460" s="627"/>
      <c r="H460" s="627"/>
      <c r="I460" s="628"/>
      <c r="J460" s="629"/>
      <c r="K460" s="629"/>
      <c r="L460" s="629"/>
      <c r="M460" s="629"/>
      <c r="N460" s="629"/>
      <c r="O460" s="618"/>
      <c r="P460" s="618"/>
      <c r="Q460" s="618"/>
      <c r="R460" s="618"/>
      <c r="S460" s="618"/>
      <c r="T460" s="618"/>
      <c r="U460" s="618"/>
      <c r="Y460" s="619"/>
    </row>
    <row r="461" spans="1:25" x14ac:dyDescent="0.2">
      <c r="A461" s="615"/>
      <c r="B461" s="615"/>
      <c r="C461" s="615"/>
      <c r="D461" s="615"/>
      <c r="E461" s="615"/>
      <c r="F461" s="627"/>
      <c r="G461" s="627"/>
      <c r="H461" s="627"/>
      <c r="I461" s="628"/>
      <c r="J461" s="629"/>
      <c r="K461" s="629"/>
      <c r="L461" s="629"/>
      <c r="M461" s="629"/>
      <c r="N461" s="629"/>
      <c r="O461" s="618"/>
      <c r="P461" s="618"/>
      <c r="Q461" s="618"/>
      <c r="R461" s="618"/>
      <c r="S461" s="618"/>
      <c r="T461" s="618"/>
      <c r="U461" s="618"/>
      <c r="Y461" s="619"/>
    </row>
    <row r="462" spans="1:25" x14ac:dyDescent="0.2">
      <c r="A462" s="615"/>
      <c r="B462" s="615"/>
      <c r="C462" s="615"/>
      <c r="D462" s="615"/>
      <c r="E462" s="615"/>
      <c r="F462" s="627"/>
      <c r="G462" s="627"/>
      <c r="H462" s="627"/>
      <c r="I462" s="628"/>
      <c r="J462" s="629"/>
      <c r="K462" s="629"/>
      <c r="L462" s="629"/>
      <c r="M462" s="629"/>
      <c r="N462" s="629"/>
      <c r="O462" s="618"/>
      <c r="P462" s="618"/>
      <c r="Q462" s="618"/>
      <c r="R462" s="618"/>
      <c r="S462" s="618"/>
      <c r="T462" s="618"/>
      <c r="U462" s="618"/>
      <c r="Y462" s="619"/>
    </row>
    <row r="463" spans="1:25" x14ac:dyDescent="0.2">
      <c r="A463" s="615"/>
      <c r="B463" s="615"/>
      <c r="C463" s="615"/>
      <c r="D463" s="615"/>
      <c r="E463" s="615"/>
      <c r="F463" s="627"/>
      <c r="G463" s="627"/>
      <c r="H463" s="627"/>
      <c r="I463" s="628"/>
      <c r="J463" s="629"/>
      <c r="K463" s="629"/>
      <c r="L463" s="629"/>
      <c r="M463" s="629"/>
      <c r="N463" s="629"/>
      <c r="O463" s="618"/>
      <c r="P463" s="618"/>
      <c r="Q463" s="618"/>
      <c r="R463" s="618"/>
      <c r="S463" s="618"/>
      <c r="T463" s="618"/>
      <c r="U463" s="618"/>
      <c r="Y463" s="619"/>
    </row>
    <row r="464" spans="1:25" x14ac:dyDescent="0.2">
      <c r="A464" s="615"/>
      <c r="B464" s="615"/>
      <c r="C464" s="615"/>
      <c r="D464" s="615"/>
      <c r="E464" s="615"/>
      <c r="F464" s="627"/>
      <c r="G464" s="627"/>
      <c r="H464" s="627"/>
      <c r="I464" s="628"/>
      <c r="J464" s="629"/>
      <c r="K464" s="629"/>
      <c r="L464" s="629"/>
      <c r="M464" s="629"/>
      <c r="N464" s="629"/>
      <c r="O464" s="618"/>
      <c r="P464" s="618"/>
      <c r="Q464" s="618"/>
      <c r="R464" s="618"/>
      <c r="S464" s="618"/>
      <c r="T464" s="618"/>
      <c r="U464" s="618"/>
      <c r="Y464" s="619"/>
    </row>
    <row r="465" spans="1:25" x14ac:dyDescent="0.2">
      <c r="A465" s="615"/>
      <c r="B465" s="615"/>
      <c r="C465" s="615"/>
      <c r="D465" s="615"/>
      <c r="E465" s="615"/>
      <c r="F465" s="627"/>
      <c r="G465" s="627"/>
      <c r="H465" s="627"/>
      <c r="I465" s="628"/>
      <c r="J465" s="629"/>
      <c r="K465" s="629"/>
      <c r="L465" s="629"/>
      <c r="M465" s="629"/>
      <c r="N465" s="629"/>
      <c r="O465" s="618"/>
      <c r="P465" s="618"/>
      <c r="Q465" s="618"/>
      <c r="R465" s="618"/>
      <c r="S465" s="618"/>
      <c r="T465" s="618"/>
      <c r="U465" s="618"/>
      <c r="Y465" s="619"/>
    </row>
    <row r="466" spans="1:25" x14ac:dyDescent="0.2">
      <c r="A466" s="615"/>
      <c r="B466" s="615"/>
      <c r="C466" s="615"/>
      <c r="D466" s="615"/>
      <c r="E466" s="615"/>
      <c r="F466" s="627"/>
      <c r="G466" s="627"/>
      <c r="H466" s="627"/>
      <c r="I466" s="628"/>
      <c r="J466" s="629"/>
      <c r="K466" s="629"/>
      <c r="L466" s="629"/>
      <c r="M466" s="629"/>
      <c r="N466" s="629"/>
      <c r="O466" s="618"/>
      <c r="P466" s="618"/>
      <c r="Q466" s="618"/>
      <c r="R466" s="618"/>
      <c r="S466" s="618"/>
      <c r="T466" s="618"/>
      <c r="U466" s="618"/>
      <c r="Y466" s="619"/>
    </row>
    <row r="467" spans="1:25" x14ac:dyDescent="0.2">
      <c r="A467" s="615"/>
      <c r="B467" s="615"/>
      <c r="C467" s="615"/>
      <c r="D467" s="615"/>
      <c r="E467" s="615"/>
      <c r="F467" s="627"/>
      <c r="G467" s="627"/>
      <c r="H467" s="627"/>
      <c r="I467" s="628"/>
      <c r="J467" s="629"/>
      <c r="K467" s="629"/>
      <c r="L467" s="629"/>
      <c r="M467" s="629"/>
      <c r="N467" s="629"/>
      <c r="O467" s="618"/>
      <c r="P467" s="618"/>
      <c r="Q467" s="618"/>
      <c r="R467" s="618"/>
      <c r="S467" s="618"/>
      <c r="T467" s="618"/>
      <c r="U467" s="618"/>
      <c r="Y467" s="619"/>
    </row>
    <row r="468" spans="1:25" x14ac:dyDescent="0.2">
      <c r="A468" s="615"/>
      <c r="B468" s="615"/>
      <c r="C468" s="615"/>
      <c r="D468" s="615"/>
      <c r="E468" s="615"/>
      <c r="F468" s="627"/>
      <c r="G468" s="627"/>
      <c r="H468" s="627"/>
      <c r="I468" s="628"/>
      <c r="J468" s="629"/>
      <c r="K468" s="629"/>
      <c r="L468" s="629"/>
      <c r="M468" s="629"/>
      <c r="N468" s="629"/>
      <c r="O468" s="618"/>
      <c r="P468" s="618"/>
      <c r="Q468" s="618"/>
      <c r="R468" s="618"/>
      <c r="S468" s="618"/>
      <c r="T468" s="618"/>
      <c r="U468" s="618"/>
      <c r="Y468" s="619"/>
    </row>
    <row r="469" spans="1:25" x14ac:dyDescent="0.2">
      <c r="A469" s="615"/>
      <c r="B469" s="615"/>
      <c r="C469" s="615"/>
      <c r="D469" s="615"/>
      <c r="E469" s="615"/>
      <c r="F469" s="627"/>
      <c r="G469" s="627"/>
      <c r="H469" s="627"/>
      <c r="I469" s="628"/>
      <c r="J469" s="629"/>
      <c r="K469" s="629"/>
      <c r="L469" s="629"/>
      <c r="M469" s="629"/>
      <c r="N469" s="629"/>
      <c r="O469" s="618"/>
      <c r="P469" s="618"/>
      <c r="Q469" s="618"/>
      <c r="R469" s="618"/>
      <c r="S469" s="618"/>
      <c r="T469" s="618"/>
      <c r="U469" s="618"/>
      <c r="Y469" s="619"/>
    </row>
    <row r="470" spans="1:25" x14ac:dyDescent="0.2">
      <c r="A470" s="615"/>
      <c r="B470" s="615"/>
      <c r="C470" s="615"/>
      <c r="D470" s="615"/>
      <c r="E470" s="615"/>
      <c r="F470" s="627"/>
      <c r="G470" s="627"/>
      <c r="H470" s="627"/>
      <c r="I470" s="628"/>
      <c r="J470" s="629"/>
      <c r="K470" s="629"/>
      <c r="L470" s="629"/>
      <c r="M470" s="629"/>
      <c r="N470" s="629"/>
      <c r="O470" s="618"/>
      <c r="P470" s="618"/>
      <c r="Q470" s="618"/>
      <c r="R470" s="618"/>
      <c r="S470" s="618"/>
      <c r="T470" s="618"/>
      <c r="U470" s="618"/>
      <c r="Y470" s="619"/>
    </row>
    <row r="471" spans="1:25" x14ac:dyDescent="0.2">
      <c r="A471" s="615"/>
      <c r="B471" s="615"/>
      <c r="C471" s="615"/>
      <c r="D471" s="615"/>
      <c r="E471" s="615"/>
      <c r="F471" s="627"/>
      <c r="G471" s="627"/>
      <c r="H471" s="627"/>
      <c r="I471" s="628"/>
      <c r="J471" s="629"/>
      <c r="K471" s="629"/>
      <c r="L471" s="629"/>
      <c r="M471" s="629"/>
      <c r="N471" s="629"/>
      <c r="O471" s="618"/>
      <c r="P471" s="618"/>
      <c r="Q471" s="618"/>
      <c r="R471" s="618"/>
      <c r="S471" s="618"/>
      <c r="T471" s="618"/>
      <c r="U471" s="618"/>
      <c r="Y471" s="619"/>
    </row>
    <row r="472" spans="1:25" x14ac:dyDescent="0.2">
      <c r="A472" s="615"/>
      <c r="B472" s="615"/>
      <c r="C472" s="615"/>
      <c r="D472" s="615"/>
      <c r="E472" s="615"/>
      <c r="F472" s="627"/>
      <c r="G472" s="627"/>
      <c r="H472" s="627"/>
      <c r="I472" s="628"/>
      <c r="J472" s="629"/>
      <c r="K472" s="629"/>
      <c r="L472" s="629"/>
      <c r="M472" s="629"/>
      <c r="N472" s="629"/>
      <c r="O472" s="618"/>
      <c r="P472" s="618"/>
      <c r="Q472" s="618"/>
      <c r="R472" s="618"/>
      <c r="S472" s="618"/>
      <c r="T472" s="618"/>
      <c r="U472" s="618"/>
      <c r="Y472" s="619"/>
    </row>
    <row r="473" spans="1:25" x14ac:dyDescent="0.2">
      <c r="A473" s="615"/>
      <c r="B473" s="615"/>
      <c r="C473" s="615"/>
      <c r="D473" s="615"/>
      <c r="E473" s="615"/>
      <c r="F473" s="627"/>
      <c r="G473" s="627"/>
      <c r="H473" s="627"/>
      <c r="I473" s="628"/>
      <c r="J473" s="629"/>
      <c r="K473" s="629"/>
      <c r="L473" s="629"/>
      <c r="M473" s="629"/>
      <c r="N473" s="629"/>
      <c r="O473" s="618"/>
      <c r="P473" s="618"/>
      <c r="Q473" s="618"/>
      <c r="R473" s="618"/>
      <c r="S473" s="618"/>
      <c r="T473" s="618"/>
      <c r="U473" s="618"/>
      <c r="Y473" s="619"/>
    </row>
    <row r="474" spans="1:25" x14ac:dyDescent="0.2">
      <c r="A474" s="615"/>
      <c r="B474" s="615"/>
      <c r="C474" s="615"/>
      <c r="D474" s="615"/>
      <c r="E474" s="615"/>
      <c r="F474" s="627"/>
      <c r="G474" s="627"/>
      <c r="H474" s="627"/>
      <c r="I474" s="628"/>
      <c r="J474" s="629"/>
      <c r="K474" s="629"/>
      <c r="L474" s="629"/>
      <c r="M474" s="629"/>
      <c r="N474" s="629"/>
      <c r="O474" s="618"/>
      <c r="P474" s="618"/>
      <c r="Q474" s="618"/>
      <c r="R474" s="618"/>
      <c r="S474" s="618"/>
      <c r="T474" s="618"/>
      <c r="U474" s="618"/>
      <c r="Y474" s="619"/>
    </row>
    <row r="475" spans="1:25" x14ac:dyDescent="0.2">
      <c r="A475" s="615"/>
      <c r="B475" s="615"/>
      <c r="C475" s="615"/>
      <c r="D475" s="615"/>
      <c r="E475" s="615"/>
      <c r="F475" s="627"/>
      <c r="G475" s="627"/>
      <c r="H475" s="627"/>
      <c r="I475" s="628"/>
      <c r="J475" s="629"/>
      <c r="K475" s="629"/>
      <c r="L475" s="629"/>
      <c r="M475" s="629"/>
      <c r="N475" s="629"/>
      <c r="O475" s="618"/>
      <c r="P475" s="618"/>
      <c r="Q475" s="618"/>
      <c r="R475" s="618"/>
      <c r="S475" s="618"/>
      <c r="T475" s="618"/>
      <c r="U475" s="618"/>
      <c r="Y475" s="619"/>
    </row>
    <row r="476" spans="1:25" x14ac:dyDescent="0.2">
      <c r="A476" s="615"/>
      <c r="B476" s="615"/>
      <c r="C476" s="615"/>
      <c r="D476" s="615"/>
      <c r="E476" s="615"/>
      <c r="F476" s="627"/>
      <c r="G476" s="627"/>
      <c r="H476" s="627"/>
      <c r="I476" s="628"/>
      <c r="J476" s="629"/>
      <c r="K476" s="629"/>
      <c r="L476" s="629"/>
      <c r="M476" s="629"/>
      <c r="N476" s="629"/>
      <c r="O476" s="618"/>
      <c r="P476" s="618"/>
      <c r="Q476" s="618"/>
      <c r="R476" s="618"/>
      <c r="S476" s="618"/>
      <c r="T476" s="618"/>
      <c r="U476" s="618"/>
      <c r="Y476" s="619"/>
    </row>
    <row r="477" spans="1:25" x14ac:dyDescent="0.2">
      <c r="A477" s="615"/>
      <c r="B477" s="615"/>
      <c r="C477" s="615"/>
      <c r="D477" s="615"/>
      <c r="E477" s="615"/>
      <c r="F477" s="627"/>
      <c r="G477" s="627"/>
      <c r="H477" s="627"/>
      <c r="I477" s="628"/>
      <c r="J477" s="629"/>
      <c r="K477" s="629"/>
      <c r="L477" s="629"/>
      <c r="M477" s="629"/>
      <c r="N477" s="629"/>
      <c r="O477" s="618"/>
      <c r="P477" s="618"/>
      <c r="Q477" s="618"/>
      <c r="R477" s="618"/>
      <c r="S477" s="618"/>
      <c r="T477" s="618"/>
      <c r="U477" s="618"/>
      <c r="Y477" s="619"/>
    </row>
    <row r="478" spans="1:25" x14ac:dyDescent="0.2">
      <c r="A478" s="615"/>
      <c r="B478" s="615"/>
      <c r="C478" s="615"/>
      <c r="D478" s="615"/>
      <c r="E478" s="615"/>
      <c r="F478" s="627"/>
      <c r="G478" s="627"/>
      <c r="H478" s="627"/>
      <c r="I478" s="628"/>
      <c r="J478" s="629"/>
      <c r="K478" s="629"/>
      <c r="L478" s="629"/>
      <c r="M478" s="629"/>
      <c r="N478" s="629"/>
      <c r="O478" s="618"/>
      <c r="P478" s="618"/>
      <c r="Q478" s="618"/>
      <c r="R478" s="618"/>
      <c r="S478" s="618"/>
      <c r="T478" s="618"/>
      <c r="U478" s="618"/>
      <c r="Y478" s="619"/>
    </row>
    <row r="479" spans="1:25" x14ac:dyDescent="0.2">
      <c r="A479" s="615"/>
      <c r="B479" s="615"/>
      <c r="C479" s="615"/>
      <c r="D479" s="615"/>
      <c r="E479" s="615"/>
      <c r="F479" s="627"/>
      <c r="G479" s="627"/>
      <c r="H479" s="627"/>
      <c r="I479" s="628"/>
      <c r="J479" s="629"/>
      <c r="K479" s="629"/>
      <c r="L479" s="629"/>
      <c r="M479" s="629"/>
      <c r="N479" s="629"/>
      <c r="O479" s="618"/>
      <c r="P479" s="618"/>
      <c r="Q479" s="618"/>
      <c r="R479" s="618"/>
      <c r="S479" s="618"/>
      <c r="T479" s="618"/>
      <c r="U479" s="618"/>
      <c r="Y479" s="619"/>
    </row>
    <row r="480" spans="1:25" x14ac:dyDescent="0.2">
      <c r="A480" s="615"/>
      <c r="B480" s="615"/>
      <c r="C480" s="615"/>
      <c r="D480" s="615"/>
      <c r="E480" s="615"/>
      <c r="F480" s="627"/>
      <c r="G480" s="627"/>
      <c r="H480" s="627"/>
      <c r="I480" s="628"/>
      <c r="J480" s="629"/>
      <c r="K480" s="629"/>
      <c r="L480" s="629"/>
      <c r="M480" s="629"/>
      <c r="N480" s="629"/>
      <c r="O480" s="618"/>
      <c r="P480" s="618"/>
      <c r="Q480" s="618"/>
      <c r="R480" s="618"/>
      <c r="S480" s="618"/>
      <c r="T480" s="618"/>
      <c r="U480" s="618"/>
      <c r="Y480" s="619"/>
    </row>
    <row r="481" spans="1:25" x14ac:dyDescent="0.2">
      <c r="A481" s="615"/>
      <c r="B481" s="615"/>
      <c r="C481" s="615"/>
      <c r="D481" s="615"/>
      <c r="E481" s="615"/>
      <c r="F481" s="627"/>
      <c r="G481" s="627"/>
      <c r="H481" s="627"/>
      <c r="I481" s="628"/>
      <c r="J481" s="629"/>
      <c r="K481" s="629"/>
      <c r="L481" s="629"/>
      <c r="M481" s="629"/>
      <c r="N481" s="629"/>
      <c r="O481" s="618"/>
      <c r="P481" s="618"/>
      <c r="Q481" s="618"/>
      <c r="R481" s="618"/>
      <c r="S481" s="618"/>
      <c r="T481" s="618"/>
      <c r="U481" s="618"/>
      <c r="Y481" s="619"/>
    </row>
    <row r="482" spans="1:25" x14ac:dyDescent="0.2">
      <c r="A482" s="615"/>
      <c r="B482" s="615"/>
      <c r="C482" s="615"/>
      <c r="D482" s="615"/>
      <c r="E482" s="615"/>
      <c r="F482" s="627"/>
      <c r="G482" s="627"/>
      <c r="H482" s="627"/>
      <c r="I482" s="628"/>
      <c r="J482" s="629"/>
      <c r="K482" s="629"/>
      <c r="L482" s="629"/>
      <c r="M482" s="629"/>
      <c r="N482" s="629"/>
      <c r="O482" s="618"/>
      <c r="P482" s="618"/>
      <c r="Q482" s="618"/>
      <c r="R482" s="618"/>
      <c r="S482" s="618"/>
      <c r="T482" s="618"/>
      <c r="U482" s="618"/>
      <c r="Y482" s="619"/>
    </row>
    <row r="483" spans="1:25" x14ac:dyDescent="0.2">
      <c r="A483" s="615"/>
      <c r="B483" s="615"/>
      <c r="C483" s="615"/>
      <c r="D483" s="615"/>
      <c r="E483" s="615"/>
      <c r="F483" s="627"/>
      <c r="G483" s="627"/>
      <c r="H483" s="627"/>
      <c r="I483" s="628"/>
      <c r="J483" s="629"/>
      <c r="K483" s="629"/>
      <c r="L483" s="629"/>
      <c r="M483" s="629"/>
      <c r="N483" s="629"/>
      <c r="O483" s="618"/>
      <c r="P483" s="618"/>
      <c r="Q483" s="618"/>
      <c r="R483" s="618"/>
      <c r="S483" s="618"/>
      <c r="T483" s="618"/>
      <c r="U483" s="618"/>
      <c r="Y483" s="619"/>
    </row>
    <row r="484" spans="1:25" x14ac:dyDescent="0.2">
      <c r="A484" s="615"/>
      <c r="B484" s="615"/>
      <c r="C484" s="615"/>
      <c r="D484" s="615"/>
      <c r="E484" s="615"/>
      <c r="F484" s="627"/>
      <c r="G484" s="627"/>
      <c r="H484" s="627"/>
      <c r="I484" s="628"/>
      <c r="J484" s="629"/>
      <c r="K484" s="629"/>
      <c r="L484" s="629"/>
      <c r="M484" s="629"/>
      <c r="N484" s="629"/>
      <c r="O484" s="618"/>
      <c r="P484" s="618"/>
      <c r="Q484" s="618"/>
      <c r="R484" s="618"/>
      <c r="S484" s="618"/>
      <c r="T484" s="618"/>
      <c r="U484" s="618"/>
      <c r="Y484" s="619"/>
    </row>
    <row r="485" spans="1:25" x14ac:dyDescent="0.2">
      <c r="A485" s="615"/>
      <c r="B485" s="615"/>
      <c r="C485" s="615"/>
      <c r="D485" s="615"/>
      <c r="E485" s="615"/>
      <c r="F485" s="627"/>
      <c r="G485" s="627"/>
      <c r="H485" s="627"/>
      <c r="I485" s="628"/>
      <c r="J485" s="629"/>
      <c r="K485" s="629"/>
      <c r="L485" s="629"/>
      <c r="M485" s="629"/>
      <c r="N485" s="629"/>
      <c r="O485" s="618"/>
      <c r="P485" s="618"/>
      <c r="Q485" s="618"/>
      <c r="R485" s="618"/>
      <c r="S485" s="618"/>
      <c r="T485" s="618"/>
      <c r="U485" s="618"/>
      <c r="Y485" s="619"/>
    </row>
    <row r="486" spans="1:25" x14ac:dyDescent="0.2">
      <c r="A486" s="615"/>
      <c r="B486" s="615"/>
      <c r="C486" s="615"/>
      <c r="D486" s="615"/>
      <c r="E486" s="615"/>
      <c r="F486" s="627"/>
      <c r="G486" s="627"/>
      <c r="H486" s="627"/>
      <c r="I486" s="628"/>
      <c r="J486" s="629"/>
      <c r="K486" s="629"/>
      <c r="L486" s="629"/>
      <c r="M486" s="629"/>
      <c r="N486" s="629"/>
      <c r="O486" s="618"/>
      <c r="P486" s="618"/>
      <c r="Q486" s="618"/>
      <c r="R486" s="618"/>
      <c r="S486" s="618"/>
      <c r="T486" s="618"/>
      <c r="U486" s="618"/>
      <c r="Y486" s="619"/>
    </row>
    <row r="487" spans="1:25" x14ac:dyDescent="0.2">
      <c r="A487" s="615"/>
      <c r="B487" s="615"/>
      <c r="C487" s="615"/>
      <c r="D487" s="615"/>
      <c r="E487" s="615"/>
      <c r="F487" s="627"/>
      <c r="G487" s="627"/>
      <c r="H487" s="627"/>
      <c r="I487" s="628"/>
      <c r="J487" s="629"/>
      <c r="K487" s="629"/>
      <c r="L487" s="629"/>
      <c r="M487" s="629"/>
      <c r="N487" s="629"/>
      <c r="O487" s="618"/>
      <c r="P487" s="618"/>
      <c r="Q487" s="618"/>
      <c r="R487" s="618"/>
      <c r="S487" s="618"/>
      <c r="T487" s="618"/>
      <c r="U487" s="618"/>
      <c r="Y487" s="619"/>
    </row>
    <row r="488" spans="1:25" x14ac:dyDescent="0.2">
      <c r="A488" s="615"/>
      <c r="B488" s="615"/>
      <c r="C488" s="615"/>
      <c r="D488" s="615"/>
      <c r="E488" s="615"/>
      <c r="F488" s="627"/>
      <c r="G488" s="627"/>
      <c r="H488" s="627"/>
      <c r="I488" s="628"/>
      <c r="J488" s="629"/>
      <c r="K488" s="629"/>
      <c r="L488" s="629"/>
      <c r="M488" s="629"/>
      <c r="N488" s="629"/>
      <c r="O488" s="618"/>
      <c r="P488" s="618"/>
      <c r="Q488" s="618"/>
      <c r="R488" s="618"/>
      <c r="S488" s="618"/>
      <c r="T488" s="618"/>
      <c r="U488" s="618"/>
      <c r="Y488" s="619"/>
    </row>
    <row r="489" spans="1:25" x14ac:dyDescent="0.2">
      <c r="A489" s="615"/>
      <c r="B489" s="615"/>
      <c r="C489" s="615"/>
      <c r="D489" s="615"/>
      <c r="E489" s="615"/>
      <c r="F489" s="627"/>
      <c r="G489" s="627"/>
      <c r="H489" s="627"/>
      <c r="I489" s="628"/>
      <c r="J489" s="629"/>
      <c r="K489" s="629"/>
      <c r="L489" s="629"/>
      <c r="M489" s="629"/>
      <c r="N489" s="629"/>
      <c r="O489" s="618"/>
      <c r="P489" s="618"/>
      <c r="Q489" s="618"/>
      <c r="R489" s="618"/>
      <c r="S489" s="618"/>
      <c r="T489" s="618"/>
      <c r="U489" s="618"/>
      <c r="Y489" s="619"/>
    </row>
    <row r="490" spans="1:25" x14ac:dyDescent="0.2">
      <c r="A490" s="615"/>
      <c r="B490" s="615"/>
      <c r="C490" s="615"/>
      <c r="D490" s="615"/>
      <c r="E490" s="615"/>
      <c r="F490" s="627"/>
      <c r="G490" s="627"/>
      <c r="H490" s="627"/>
      <c r="I490" s="628"/>
      <c r="J490" s="629"/>
      <c r="K490" s="629"/>
      <c r="L490" s="629"/>
      <c r="M490" s="629"/>
      <c r="N490" s="629"/>
      <c r="O490" s="618"/>
      <c r="P490" s="618"/>
      <c r="Q490" s="618"/>
      <c r="R490" s="618"/>
      <c r="S490" s="618"/>
      <c r="T490" s="618"/>
      <c r="U490" s="618"/>
      <c r="Y490" s="619"/>
    </row>
    <row r="491" spans="1:25" x14ac:dyDescent="0.2">
      <c r="A491" s="615"/>
      <c r="B491" s="615"/>
      <c r="C491" s="615"/>
      <c r="D491" s="615"/>
      <c r="E491" s="615"/>
      <c r="F491" s="627"/>
      <c r="G491" s="627"/>
      <c r="H491" s="627"/>
      <c r="I491" s="628"/>
      <c r="J491" s="629"/>
      <c r="K491" s="629"/>
      <c r="L491" s="629"/>
      <c r="M491" s="629"/>
      <c r="N491" s="629"/>
      <c r="O491" s="618"/>
      <c r="P491" s="618"/>
      <c r="Q491" s="618"/>
      <c r="R491" s="618"/>
      <c r="S491" s="618"/>
      <c r="T491" s="618"/>
      <c r="U491" s="618"/>
      <c r="Y491" s="619"/>
    </row>
    <row r="492" spans="1:25" x14ac:dyDescent="0.2">
      <c r="A492" s="615"/>
      <c r="B492" s="615"/>
      <c r="C492" s="615"/>
      <c r="D492" s="615"/>
      <c r="E492" s="615"/>
      <c r="F492" s="627"/>
      <c r="G492" s="627"/>
      <c r="H492" s="627"/>
      <c r="I492" s="628"/>
      <c r="J492" s="629"/>
      <c r="K492" s="629"/>
      <c r="L492" s="629"/>
      <c r="M492" s="629"/>
      <c r="N492" s="629"/>
      <c r="O492" s="618"/>
      <c r="P492" s="618"/>
      <c r="Q492" s="618"/>
      <c r="R492" s="618"/>
      <c r="S492" s="618"/>
      <c r="T492" s="618"/>
      <c r="U492" s="618"/>
      <c r="Y492" s="619"/>
    </row>
    <row r="493" spans="1:25" x14ac:dyDescent="0.2">
      <c r="A493" s="615"/>
      <c r="B493" s="615"/>
      <c r="C493" s="615"/>
      <c r="D493" s="615"/>
      <c r="E493" s="615"/>
      <c r="F493" s="627"/>
      <c r="G493" s="627"/>
      <c r="H493" s="627"/>
      <c r="I493" s="628"/>
      <c r="J493" s="629"/>
      <c r="K493" s="629"/>
      <c r="L493" s="629"/>
      <c r="M493" s="629"/>
      <c r="N493" s="629"/>
      <c r="O493" s="618"/>
      <c r="P493" s="618"/>
      <c r="Q493" s="618"/>
      <c r="R493" s="618"/>
      <c r="S493" s="618"/>
      <c r="T493" s="618"/>
      <c r="U493" s="618"/>
      <c r="Y493" s="619"/>
    </row>
    <row r="494" spans="1:25" x14ac:dyDescent="0.2">
      <c r="A494" s="615"/>
      <c r="B494" s="615"/>
      <c r="C494" s="615"/>
      <c r="D494" s="615"/>
      <c r="E494" s="615"/>
      <c r="F494" s="627"/>
      <c r="G494" s="627"/>
      <c r="H494" s="627"/>
      <c r="I494" s="628"/>
      <c r="J494" s="629"/>
      <c r="K494" s="629"/>
      <c r="L494" s="629"/>
      <c r="M494" s="629"/>
      <c r="N494" s="629"/>
      <c r="O494" s="618"/>
      <c r="P494" s="618"/>
      <c r="Q494" s="618"/>
      <c r="R494" s="618"/>
      <c r="S494" s="618"/>
      <c r="T494" s="618"/>
      <c r="U494" s="618"/>
      <c r="Y494" s="619"/>
    </row>
    <row r="495" spans="1:25" x14ac:dyDescent="0.2">
      <c r="A495" s="615"/>
      <c r="B495" s="615"/>
      <c r="C495" s="615"/>
      <c r="D495" s="615"/>
      <c r="E495" s="615"/>
      <c r="F495" s="627"/>
      <c r="G495" s="627"/>
      <c r="H495" s="627"/>
      <c r="I495" s="628"/>
      <c r="J495" s="629"/>
      <c r="K495" s="629"/>
      <c r="L495" s="629"/>
      <c r="M495" s="629"/>
      <c r="N495" s="629"/>
      <c r="O495" s="618"/>
      <c r="P495" s="618"/>
      <c r="Q495" s="618"/>
      <c r="R495" s="618"/>
      <c r="S495" s="618"/>
      <c r="T495" s="618"/>
      <c r="U495" s="618"/>
      <c r="Y495" s="619"/>
    </row>
    <row r="496" spans="1:25" x14ac:dyDescent="0.2">
      <c r="A496" s="615"/>
      <c r="B496" s="615"/>
      <c r="C496" s="615"/>
      <c r="D496" s="615"/>
      <c r="E496" s="615"/>
      <c r="F496" s="627"/>
      <c r="G496" s="627"/>
      <c r="H496" s="627"/>
      <c r="I496" s="628"/>
      <c r="J496" s="629"/>
      <c r="K496" s="629"/>
      <c r="L496" s="629"/>
      <c r="M496" s="629"/>
      <c r="N496" s="629"/>
      <c r="O496" s="618"/>
      <c r="P496" s="618"/>
      <c r="Q496" s="618"/>
      <c r="R496" s="618"/>
      <c r="S496" s="618"/>
      <c r="T496" s="618"/>
      <c r="U496" s="618"/>
      <c r="Y496" s="619"/>
    </row>
    <row r="497" spans="1:25" x14ac:dyDescent="0.2">
      <c r="A497" s="615"/>
      <c r="B497" s="615"/>
      <c r="C497" s="615"/>
      <c r="D497" s="615"/>
      <c r="E497" s="615"/>
      <c r="F497" s="627"/>
      <c r="G497" s="627"/>
      <c r="H497" s="627"/>
      <c r="I497" s="628"/>
      <c r="J497" s="629"/>
      <c r="K497" s="629"/>
      <c r="L497" s="629"/>
      <c r="M497" s="629"/>
      <c r="N497" s="629"/>
      <c r="O497" s="618"/>
      <c r="P497" s="618"/>
      <c r="Q497" s="618"/>
      <c r="R497" s="618"/>
      <c r="S497" s="618"/>
      <c r="T497" s="618"/>
      <c r="U497" s="618"/>
      <c r="Y497" s="619"/>
    </row>
    <row r="498" spans="1:25" x14ac:dyDescent="0.2">
      <c r="A498" s="615"/>
      <c r="B498" s="615"/>
      <c r="C498" s="615"/>
      <c r="D498" s="615"/>
      <c r="E498" s="615"/>
      <c r="F498" s="627"/>
      <c r="G498" s="627"/>
      <c r="H498" s="627"/>
      <c r="I498" s="628"/>
      <c r="J498" s="629"/>
      <c r="K498" s="629"/>
      <c r="L498" s="629"/>
      <c r="M498" s="629"/>
      <c r="N498" s="629"/>
      <c r="O498" s="618"/>
      <c r="P498" s="618"/>
      <c r="Q498" s="618"/>
      <c r="R498" s="618"/>
      <c r="S498" s="618"/>
      <c r="T498" s="618"/>
      <c r="U498" s="618"/>
      <c r="Y498" s="619"/>
    </row>
    <row r="499" spans="1:25" x14ac:dyDescent="0.2">
      <c r="A499" s="615"/>
      <c r="B499" s="615"/>
      <c r="C499" s="615"/>
      <c r="D499" s="615"/>
      <c r="E499" s="615"/>
      <c r="F499" s="627"/>
      <c r="G499" s="627"/>
      <c r="H499" s="627"/>
      <c r="I499" s="628"/>
      <c r="J499" s="629"/>
      <c r="K499" s="629"/>
      <c r="L499" s="629"/>
      <c r="M499" s="629"/>
      <c r="N499" s="629"/>
      <c r="O499" s="618"/>
      <c r="P499" s="618"/>
      <c r="Q499" s="618"/>
      <c r="R499" s="618"/>
      <c r="S499" s="618"/>
      <c r="T499" s="618"/>
      <c r="U499" s="618"/>
      <c r="Y499" s="619"/>
    </row>
    <row r="500" spans="1:25" x14ac:dyDescent="0.2">
      <c r="A500" s="615"/>
      <c r="B500" s="615"/>
      <c r="C500" s="615"/>
      <c r="D500" s="615"/>
      <c r="E500" s="615"/>
      <c r="F500" s="627"/>
      <c r="G500" s="627"/>
      <c r="H500" s="627"/>
      <c r="I500" s="628"/>
      <c r="J500" s="629"/>
      <c r="K500" s="629"/>
      <c r="L500" s="629"/>
      <c r="M500" s="629"/>
      <c r="N500" s="629"/>
      <c r="O500" s="618"/>
      <c r="P500" s="618"/>
      <c r="Q500" s="618"/>
      <c r="R500" s="618"/>
      <c r="S500" s="618"/>
      <c r="T500" s="618"/>
      <c r="U500" s="618"/>
      <c r="Y500" s="619"/>
    </row>
    <row r="501" spans="1:25" x14ac:dyDescent="0.2">
      <c r="A501" s="615"/>
      <c r="B501" s="615"/>
      <c r="C501" s="615"/>
      <c r="D501" s="615"/>
      <c r="E501" s="615"/>
      <c r="F501" s="627"/>
      <c r="G501" s="627"/>
      <c r="H501" s="627"/>
      <c r="I501" s="628"/>
      <c r="J501" s="629"/>
      <c r="K501" s="629"/>
      <c r="L501" s="629"/>
      <c r="M501" s="629"/>
      <c r="N501" s="629"/>
      <c r="O501" s="618"/>
      <c r="P501" s="618"/>
      <c r="Q501" s="618"/>
      <c r="R501" s="618"/>
      <c r="S501" s="618"/>
      <c r="T501" s="618"/>
      <c r="U501" s="618"/>
      <c r="Y501" s="619"/>
    </row>
    <row r="502" spans="1:25" x14ac:dyDescent="0.2">
      <c r="A502" s="615"/>
      <c r="B502" s="615"/>
      <c r="C502" s="615"/>
      <c r="D502" s="615"/>
      <c r="E502" s="615"/>
      <c r="F502" s="627"/>
      <c r="G502" s="627"/>
      <c r="H502" s="627"/>
      <c r="I502" s="628"/>
      <c r="J502" s="629"/>
      <c r="K502" s="629"/>
      <c r="L502" s="629"/>
      <c r="M502" s="629"/>
      <c r="N502" s="629"/>
      <c r="O502" s="618"/>
      <c r="P502" s="618"/>
      <c r="Q502" s="618"/>
      <c r="R502" s="618"/>
      <c r="S502" s="618"/>
      <c r="T502" s="618"/>
      <c r="U502" s="618"/>
      <c r="Y502" s="619"/>
    </row>
    <row r="503" spans="1:25" x14ac:dyDescent="0.2">
      <c r="A503" s="615"/>
      <c r="B503" s="615"/>
      <c r="C503" s="615"/>
      <c r="D503" s="615"/>
      <c r="E503" s="615"/>
      <c r="F503" s="627"/>
      <c r="G503" s="627"/>
      <c r="H503" s="627"/>
      <c r="I503" s="628"/>
      <c r="J503" s="629"/>
      <c r="K503" s="629"/>
      <c r="L503" s="629"/>
      <c r="M503" s="629"/>
      <c r="N503" s="629"/>
      <c r="O503" s="618"/>
      <c r="P503" s="618"/>
      <c r="Q503" s="618"/>
      <c r="R503" s="618"/>
      <c r="S503" s="618"/>
      <c r="T503" s="618"/>
      <c r="U503" s="618"/>
      <c r="Y503" s="619"/>
    </row>
    <row r="504" spans="1:25" x14ac:dyDescent="0.2">
      <c r="A504" s="615"/>
      <c r="B504" s="615"/>
      <c r="C504" s="615"/>
      <c r="D504" s="615"/>
      <c r="E504" s="615"/>
      <c r="F504" s="627"/>
      <c r="G504" s="627"/>
      <c r="H504" s="627"/>
      <c r="I504" s="628"/>
      <c r="J504" s="629"/>
      <c r="K504" s="629"/>
      <c r="L504" s="629"/>
      <c r="M504" s="629"/>
      <c r="N504" s="629"/>
      <c r="O504" s="618"/>
      <c r="P504" s="618"/>
      <c r="Q504" s="618"/>
      <c r="R504" s="618"/>
      <c r="S504" s="618"/>
      <c r="T504" s="618"/>
      <c r="U504" s="618"/>
      <c r="Y504" s="619"/>
    </row>
    <row r="505" spans="1:25" x14ac:dyDescent="0.2">
      <c r="A505" s="615"/>
      <c r="B505" s="615"/>
      <c r="C505" s="615"/>
      <c r="D505" s="615"/>
      <c r="E505" s="615"/>
      <c r="F505" s="627"/>
      <c r="G505" s="627"/>
      <c r="H505" s="627"/>
      <c r="I505" s="628"/>
      <c r="J505" s="629"/>
      <c r="K505" s="629"/>
      <c r="L505" s="629"/>
      <c r="M505" s="629"/>
      <c r="N505" s="629"/>
      <c r="O505" s="618"/>
      <c r="P505" s="618"/>
      <c r="Q505" s="618"/>
      <c r="R505" s="618"/>
      <c r="S505" s="618"/>
      <c r="T505" s="618"/>
      <c r="U505" s="618"/>
      <c r="Y505" s="619"/>
    </row>
    <row r="506" spans="1:25" x14ac:dyDescent="0.2">
      <c r="A506" s="615"/>
      <c r="B506" s="615"/>
      <c r="C506" s="615"/>
      <c r="D506" s="615"/>
      <c r="E506" s="615"/>
      <c r="F506" s="627"/>
      <c r="G506" s="627"/>
      <c r="H506" s="627"/>
      <c r="I506" s="628"/>
      <c r="J506" s="629"/>
      <c r="K506" s="629"/>
      <c r="L506" s="629"/>
      <c r="M506" s="629"/>
      <c r="N506" s="629"/>
      <c r="O506" s="618"/>
      <c r="P506" s="618"/>
      <c r="Q506" s="618"/>
      <c r="R506" s="618"/>
      <c r="S506" s="618"/>
      <c r="T506" s="618"/>
      <c r="U506" s="618"/>
      <c r="Y506" s="619"/>
    </row>
    <row r="507" spans="1:25" x14ac:dyDescent="0.2">
      <c r="A507" s="615"/>
      <c r="B507" s="615"/>
      <c r="C507" s="615"/>
      <c r="D507" s="615"/>
      <c r="E507" s="615"/>
      <c r="F507" s="627"/>
      <c r="G507" s="627"/>
      <c r="H507" s="627"/>
      <c r="I507" s="628"/>
      <c r="J507" s="629"/>
      <c r="K507" s="629"/>
      <c r="L507" s="629"/>
      <c r="M507" s="629"/>
      <c r="N507" s="629"/>
      <c r="O507" s="618"/>
      <c r="P507" s="618"/>
      <c r="Q507" s="618"/>
      <c r="R507" s="618"/>
      <c r="S507" s="618"/>
      <c r="T507" s="618"/>
      <c r="U507" s="618"/>
      <c r="Y507" s="619"/>
    </row>
    <row r="508" spans="1:25" x14ac:dyDescent="0.2">
      <c r="A508" s="615"/>
      <c r="B508" s="615"/>
      <c r="C508" s="615"/>
      <c r="D508" s="615"/>
      <c r="E508" s="615"/>
      <c r="F508" s="627"/>
      <c r="G508" s="627"/>
      <c r="H508" s="627"/>
      <c r="I508" s="628"/>
      <c r="J508" s="629"/>
      <c r="K508" s="629"/>
      <c r="L508" s="629"/>
      <c r="M508" s="629"/>
      <c r="N508" s="629"/>
      <c r="O508" s="618"/>
      <c r="P508" s="618"/>
      <c r="Q508" s="618"/>
      <c r="R508" s="618"/>
      <c r="S508" s="618"/>
      <c r="T508" s="618"/>
      <c r="U508" s="618"/>
      <c r="Y508" s="619"/>
    </row>
    <row r="509" spans="1:25" x14ac:dyDescent="0.2">
      <c r="A509" s="615"/>
      <c r="B509" s="615"/>
      <c r="C509" s="615"/>
      <c r="D509" s="615"/>
      <c r="E509" s="615"/>
      <c r="F509" s="627"/>
      <c r="G509" s="627"/>
      <c r="H509" s="627"/>
      <c r="I509" s="628"/>
      <c r="J509" s="629"/>
      <c r="K509" s="629"/>
      <c r="L509" s="629"/>
      <c r="M509" s="629"/>
      <c r="N509" s="629"/>
      <c r="O509" s="618"/>
      <c r="P509" s="618"/>
      <c r="Q509" s="618"/>
      <c r="R509" s="618"/>
      <c r="S509" s="618"/>
      <c r="T509" s="618"/>
      <c r="U509" s="618"/>
      <c r="Y509" s="619"/>
    </row>
    <row r="510" spans="1:25" x14ac:dyDescent="0.2">
      <c r="A510" s="615"/>
      <c r="B510" s="615"/>
      <c r="C510" s="615"/>
      <c r="D510" s="615"/>
      <c r="E510" s="615"/>
      <c r="F510" s="627"/>
      <c r="G510" s="627"/>
      <c r="H510" s="627"/>
      <c r="I510" s="628"/>
      <c r="J510" s="629"/>
      <c r="K510" s="629"/>
      <c r="L510" s="629"/>
      <c r="M510" s="629"/>
      <c r="N510" s="629"/>
      <c r="O510" s="618"/>
      <c r="P510" s="618"/>
      <c r="Q510" s="618"/>
      <c r="R510" s="618"/>
      <c r="S510" s="618"/>
      <c r="T510" s="618"/>
      <c r="U510" s="618"/>
      <c r="Y510" s="619"/>
    </row>
    <row r="511" spans="1:25" x14ac:dyDescent="0.2">
      <c r="A511" s="615"/>
      <c r="B511" s="615"/>
      <c r="C511" s="615"/>
      <c r="D511" s="615"/>
      <c r="E511" s="615"/>
      <c r="F511" s="627"/>
      <c r="G511" s="627"/>
      <c r="H511" s="627"/>
      <c r="I511" s="628"/>
      <c r="J511" s="629"/>
      <c r="K511" s="629"/>
      <c r="L511" s="629"/>
      <c r="M511" s="629"/>
      <c r="N511" s="629"/>
      <c r="O511" s="618"/>
      <c r="P511" s="618"/>
      <c r="Q511" s="618"/>
      <c r="R511" s="618"/>
      <c r="S511" s="618"/>
      <c r="T511" s="618"/>
      <c r="U511" s="618"/>
      <c r="Y511" s="619"/>
    </row>
    <row r="512" spans="1:25" x14ac:dyDescent="0.2">
      <c r="A512" s="615"/>
      <c r="B512" s="615"/>
      <c r="C512" s="615"/>
      <c r="D512" s="615"/>
      <c r="E512" s="615"/>
      <c r="F512" s="627"/>
      <c r="G512" s="627"/>
      <c r="H512" s="627"/>
      <c r="I512" s="628"/>
      <c r="J512" s="629"/>
      <c r="K512" s="629"/>
      <c r="L512" s="629"/>
      <c r="M512" s="629"/>
      <c r="N512" s="629"/>
      <c r="O512" s="618"/>
      <c r="P512" s="618"/>
      <c r="Q512" s="618"/>
      <c r="R512" s="618"/>
      <c r="S512" s="618"/>
      <c r="T512" s="618"/>
      <c r="U512" s="618"/>
      <c r="Y512" s="619"/>
    </row>
    <row r="513" spans="1:25" x14ac:dyDescent="0.2">
      <c r="A513" s="615"/>
      <c r="B513" s="615"/>
      <c r="C513" s="615"/>
      <c r="D513" s="615"/>
      <c r="E513" s="615"/>
      <c r="F513" s="627"/>
      <c r="G513" s="627"/>
      <c r="H513" s="627"/>
      <c r="I513" s="628"/>
      <c r="J513" s="629"/>
      <c r="K513" s="629"/>
      <c r="L513" s="629"/>
      <c r="M513" s="629"/>
      <c r="N513" s="629"/>
      <c r="O513" s="618"/>
      <c r="P513" s="618"/>
      <c r="Q513" s="618"/>
      <c r="R513" s="618"/>
      <c r="S513" s="618"/>
      <c r="T513" s="618"/>
      <c r="U513" s="618"/>
      <c r="Y513" s="619"/>
    </row>
    <row r="514" spans="1:25" x14ac:dyDescent="0.2">
      <c r="A514" s="615"/>
      <c r="B514" s="615"/>
      <c r="C514" s="615"/>
      <c r="D514" s="615"/>
      <c r="E514" s="615"/>
      <c r="F514" s="627"/>
      <c r="G514" s="627"/>
      <c r="H514" s="627"/>
      <c r="I514" s="628"/>
      <c r="J514" s="629"/>
      <c r="K514" s="629"/>
      <c r="L514" s="629"/>
      <c r="M514" s="629"/>
      <c r="N514" s="629"/>
      <c r="O514" s="618"/>
      <c r="P514" s="618"/>
      <c r="Q514" s="618"/>
      <c r="R514" s="618"/>
      <c r="S514" s="618"/>
      <c r="T514" s="618"/>
      <c r="U514" s="618"/>
      <c r="Y514" s="619"/>
    </row>
    <row r="515" spans="1:25" x14ac:dyDescent="0.2">
      <c r="A515" s="615"/>
      <c r="B515" s="615"/>
      <c r="C515" s="615"/>
      <c r="D515" s="615"/>
      <c r="E515" s="615"/>
      <c r="F515" s="627"/>
      <c r="G515" s="627"/>
      <c r="H515" s="627"/>
      <c r="I515" s="628"/>
      <c r="J515" s="629"/>
      <c r="K515" s="629"/>
      <c r="L515" s="629"/>
      <c r="M515" s="629"/>
      <c r="N515" s="629"/>
      <c r="O515" s="618"/>
      <c r="P515" s="618"/>
      <c r="Q515" s="618"/>
      <c r="R515" s="618"/>
      <c r="S515" s="618"/>
      <c r="T515" s="618"/>
      <c r="U515" s="618"/>
      <c r="Y515" s="619"/>
    </row>
    <row r="516" spans="1:25" x14ac:dyDescent="0.2">
      <c r="A516" s="615"/>
      <c r="B516" s="615"/>
      <c r="C516" s="615"/>
      <c r="D516" s="615"/>
      <c r="E516" s="615"/>
      <c r="F516" s="627"/>
      <c r="G516" s="627"/>
      <c r="H516" s="627"/>
      <c r="I516" s="628"/>
      <c r="J516" s="629"/>
      <c r="K516" s="629"/>
      <c r="L516" s="629"/>
      <c r="M516" s="629"/>
      <c r="N516" s="629"/>
      <c r="O516" s="618"/>
      <c r="P516" s="618"/>
      <c r="Q516" s="618"/>
      <c r="R516" s="618"/>
      <c r="S516" s="618"/>
      <c r="T516" s="618"/>
      <c r="U516" s="618"/>
      <c r="Y516" s="619"/>
    </row>
    <row r="517" spans="1:25" x14ac:dyDescent="0.2">
      <c r="A517" s="615"/>
      <c r="B517" s="615"/>
      <c r="C517" s="615"/>
      <c r="D517" s="615"/>
      <c r="E517" s="615"/>
      <c r="F517" s="627"/>
      <c r="G517" s="627"/>
      <c r="H517" s="627"/>
      <c r="I517" s="628"/>
      <c r="J517" s="629"/>
      <c r="K517" s="629"/>
      <c r="L517" s="629"/>
      <c r="M517" s="629"/>
      <c r="N517" s="629"/>
      <c r="O517" s="618"/>
      <c r="P517" s="618"/>
      <c r="Q517" s="618"/>
      <c r="R517" s="618"/>
      <c r="S517" s="618"/>
      <c r="T517" s="618"/>
      <c r="U517" s="618"/>
      <c r="Y517" s="619"/>
    </row>
    <row r="518" spans="1:25" x14ac:dyDescent="0.2">
      <c r="A518" s="615"/>
      <c r="B518" s="615"/>
      <c r="C518" s="615"/>
      <c r="D518" s="615"/>
      <c r="E518" s="615"/>
      <c r="F518" s="627"/>
      <c r="G518" s="627"/>
      <c r="H518" s="627"/>
      <c r="I518" s="628"/>
      <c r="J518" s="629"/>
      <c r="K518" s="629"/>
      <c r="L518" s="629"/>
      <c r="M518" s="629"/>
      <c r="N518" s="629"/>
      <c r="O518" s="618"/>
      <c r="P518" s="618"/>
      <c r="Q518" s="618"/>
      <c r="R518" s="618"/>
      <c r="S518" s="618"/>
      <c r="T518" s="618"/>
      <c r="U518" s="618"/>
      <c r="Y518" s="619"/>
    </row>
    <row r="519" spans="1:25" x14ac:dyDescent="0.2">
      <c r="A519" s="615"/>
      <c r="B519" s="615"/>
      <c r="C519" s="615"/>
      <c r="D519" s="615"/>
      <c r="E519" s="615"/>
      <c r="F519" s="627"/>
      <c r="G519" s="627"/>
      <c r="H519" s="627"/>
      <c r="I519" s="628"/>
      <c r="J519" s="629"/>
      <c r="K519" s="629"/>
      <c r="L519" s="629"/>
      <c r="M519" s="629"/>
      <c r="N519" s="629"/>
      <c r="O519" s="618"/>
      <c r="P519" s="618"/>
      <c r="Q519" s="618"/>
      <c r="R519" s="618"/>
      <c r="S519" s="618"/>
      <c r="T519" s="618"/>
      <c r="U519" s="618"/>
      <c r="Y519" s="619"/>
    </row>
    <row r="520" spans="1:25" x14ac:dyDescent="0.2">
      <c r="A520" s="615"/>
      <c r="B520" s="615"/>
      <c r="C520" s="615"/>
      <c r="D520" s="615"/>
      <c r="E520" s="615"/>
      <c r="F520" s="627"/>
      <c r="G520" s="627"/>
      <c r="H520" s="627"/>
      <c r="I520" s="628"/>
      <c r="J520" s="629"/>
      <c r="K520" s="629"/>
      <c r="L520" s="629"/>
      <c r="M520" s="629"/>
      <c r="N520" s="629"/>
      <c r="O520" s="618"/>
      <c r="P520" s="618"/>
      <c r="Q520" s="618"/>
      <c r="R520" s="618"/>
      <c r="S520" s="618"/>
      <c r="T520" s="618"/>
      <c r="U520" s="618"/>
      <c r="Y520" s="619"/>
    </row>
    <row r="521" spans="1:25" x14ac:dyDescent="0.2">
      <c r="A521" s="615"/>
      <c r="B521" s="615"/>
      <c r="C521" s="615"/>
      <c r="D521" s="615"/>
      <c r="E521" s="615"/>
      <c r="F521" s="627"/>
      <c r="G521" s="627"/>
      <c r="H521" s="627"/>
      <c r="I521" s="628"/>
      <c r="J521" s="629"/>
      <c r="K521" s="629"/>
      <c r="L521" s="629"/>
      <c r="M521" s="629"/>
      <c r="N521" s="629"/>
      <c r="O521" s="618"/>
      <c r="P521" s="618"/>
      <c r="Q521" s="618"/>
      <c r="R521" s="618"/>
      <c r="S521" s="618"/>
      <c r="T521" s="618"/>
      <c r="U521" s="618"/>
      <c r="Y521" s="619"/>
    </row>
    <row r="522" spans="1:25" x14ac:dyDescent="0.2">
      <c r="A522" s="615"/>
      <c r="B522" s="615"/>
      <c r="C522" s="615"/>
      <c r="D522" s="615"/>
      <c r="E522" s="615"/>
      <c r="F522" s="627"/>
      <c r="G522" s="627"/>
      <c r="H522" s="627"/>
      <c r="I522" s="628"/>
      <c r="J522" s="629"/>
      <c r="K522" s="629"/>
      <c r="L522" s="629"/>
      <c r="M522" s="629"/>
      <c r="N522" s="629"/>
      <c r="O522" s="618"/>
      <c r="P522" s="618"/>
      <c r="Q522" s="618"/>
      <c r="R522" s="618"/>
      <c r="S522" s="618"/>
      <c r="T522" s="618"/>
      <c r="U522" s="618"/>
      <c r="Y522" s="619"/>
    </row>
    <row r="523" spans="1:25" x14ac:dyDescent="0.2">
      <c r="A523" s="615"/>
      <c r="B523" s="615"/>
      <c r="C523" s="615"/>
      <c r="D523" s="615"/>
      <c r="E523" s="615"/>
      <c r="F523" s="627"/>
      <c r="G523" s="627"/>
      <c r="H523" s="627"/>
      <c r="I523" s="628"/>
      <c r="J523" s="629"/>
      <c r="K523" s="629"/>
      <c r="L523" s="629"/>
      <c r="M523" s="629"/>
      <c r="N523" s="629"/>
      <c r="O523" s="618"/>
      <c r="P523" s="618"/>
      <c r="Q523" s="618"/>
      <c r="R523" s="618"/>
      <c r="S523" s="618"/>
      <c r="T523" s="618"/>
      <c r="U523" s="618"/>
      <c r="Y523" s="619"/>
    </row>
    <row r="524" spans="1:25" x14ac:dyDescent="0.2">
      <c r="A524" s="615"/>
      <c r="B524" s="615"/>
      <c r="C524" s="615"/>
      <c r="D524" s="615"/>
      <c r="E524" s="615"/>
      <c r="F524" s="627"/>
      <c r="G524" s="627"/>
      <c r="H524" s="627"/>
      <c r="I524" s="628"/>
      <c r="J524" s="629"/>
      <c r="K524" s="629"/>
      <c r="L524" s="629"/>
      <c r="M524" s="629"/>
      <c r="N524" s="629"/>
      <c r="O524" s="618"/>
      <c r="P524" s="618"/>
      <c r="Q524" s="618"/>
      <c r="R524" s="618"/>
      <c r="S524" s="618"/>
      <c r="T524" s="618"/>
      <c r="U524" s="618"/>
      <c r="Y524" s="619"/>
    </row>
    <row r="525" spans="1:25" x14ac:dyDescent="0.2">
      <c r="A525" s="615"/>
      <c r="B525" s="615"/>
      <c r="C525" s="615"/>
      <c r="D525" s="615"/>
      <c r="E525" s="615"/>
      <c r="F525" s="627"/>
      <c r="G525" s="627"/>
      <c r="H525" s="627"/>
      <c r="I525" s="628"/>
      <c r="J525" s="629"/>
      <c r="K525" s="629"/>
      <c r="L525" s="629"/>
      <c r="M525" s="629"/>
      <c r="N525" s="629"/>
      <c r="O525" s="618"/>
      <c r="P525" s="618"/>
      <c r="Q525" s="618"/>
      <c r="R525" s="618"/>
      <c r="S525" s="618"/>
      <c r="T525" s="618"/>
      <c r="U525" s="618"/>
      <c r="Y525" s="619"/>
    </row>
    <row r="526" spans="1:25" x14ac:dyDescent="0.2">
      <c r="A526" s="615"/>
      <c r="B526" s="615"/>
      <c r="C526" s="615"/>
      <c r="D526" s="615"/>
      <c r="E526" s="615"/>
      <c r="F526" s="627"/>
      <c r="G526" s="627"/>
      <c r="H526" s="627"/>
      <c r="I526" s="628"/>
      <c r="J526" s="629"/>
      <c r="K526" s="629"/>
      <c r="L526" s="629"/>
      <c r="M526" s="629"/>
      <c r="N526" s="629"/>
      <c r="O526" s="618"/>
      <c r="P526" s="618"/>
      <c r="Q526" s="618"/>
      <c r="R526" s="618"/>
      <c r="S526" s="618"/>
      <c r="T526" s="618"/>
      <c r="U526" s="618"/>
      <c r="Y526" s="619"/>
    </row>
    <row r="527" spans="1:25" x14ac:dyDescent="0.2">
      <c r="A527" s="615"/>
      <c r="B527" s="615"/>
      <c r="C527" s="615"/>
      <c r="D527" s="615"/>
      <c r="E527" s="615"/>
      <c r="F527" s="627"/>
      <c r="G527" s="627"/>
      <c r="H527" s="627"/>
      <c r="I527" s="628"/>
      <c r="J527" s="629"/>
      <c r="K527" s="629"/>
      <c r="L527" s="629"/>
      <c r="M527" s="629"/>
      <c r="N527" s="629"/>
      <c r="O527" s="618"/>
      <c r="P527" s="618"/>
      <c r="Q527" s="618"/>
      <c r="R527" s="618"/>
      <c r="S527" s="618"/>
      <c r="T527" s="618"/>
      <c r="U527" s="618"/>
      <c r="Y527" s="619"/>
    </row>
    <row r="528" spans="1:25" x14ac:dyDescent="0.2">
      <c r="A528" s="615"/>
      <c r="B528" s="615"/>
      <c r="C528" s="615"/>
      <c r="D528" s="615"/>
      <c r="E528" s="615"/>
      <c r="F528" s="627"/>
      <c r="G528" s="627"/>
      <c r="H528" s="627"/>
      <c r="I528" s="628"/>
      <c r="J528" s="629"/>
      <c r="K528" s="629"/>
      <c r="L528" s="629"/>
      <c r="M528" s="629"/>
      <c r="N528" s="629"/>
      <c r="O528" s="618"/>
      <c r="P528" s="618"/>
      <c r="Q528" s="618"/>
      <c r="R528" s="618"/>
      <c r="S528" s="618"/>
      <c r="T528" s="618"/>
      <c r="U528" s="618"/>
      <c r="Y528" s="619"/>
    </row>
    <row r="529" spans="1:25" x14ac:dyDescent="0.2">
      <c r="A529" s="615"/>
      <c r="B529" s="615"/>
      <c r="C529" s="615"/>
      <c r="D529" s="615"/>
      <c r="E529" s="615"/>
      <c r="F529" s="627"/>
      <c r="G529" s="627"/>
      <c r="H529" s="627"/>
      <c r="I529" s="628"/>
      <c r="J529" s="629"/>
      <c r="K529" s="629"/>
      <c r="L529" s="629"/>
      <c r="M529" s="629"/>
      <c r="N529" s="629"/>
      <c r="O529" s="618"/>
      <c r="P529" s="618"/>
      <c r="Q529" s="618"/>
      <c r="R529" s="618"/>
      <c r="S529" s="618"/>
      <c r="T529" s="618"/>
      <c r="U529" s="618"/>
      <c r="Y529" s="619"/>
    </row>
    <row r="530" spans="1:25" x14ac:dyDescent="0.2">
      <c r="A530" s="615"/>
      <c r="B530" s="615"/>
      <c r="C530" s="615"/>
      <c r="D530" s="615"/>
      <c r="E530" s="615"/>
      <c r="F530" s="627"/>
      <c r="G530" s="627"/>
      <c r="H530" s="627"/>
      <c r="I530" s="628"/>
      <c r="J530" s="629"/>
      <c r="K530" s="629"/>
      <c r="L530" s="629"/>
      <c r="M530" s="629"/>
      <c r="N530" s="629"/>
      <c r="O530" s="618"/>
      <c r="P530" s="618"/>
      <c r="Q530" s="618"/>
      <c r="R530" s="618"/>
      <c r="S530" s="618"/>
      <c r="T530" s="618"/>
      <c r="U530" s="618"/>
      <c r="Y530" s="619"/>
    </row>
    <row r="531" spans="1:25" x14ac:dyDescent="0.2">
      <c r="A531" s="615"/>
      <c r="B531" s="615"/>
      <c r="C531" s="615"/>
      <c r="D531" s="615"/>
      <c r="E531" s="615"/>
      <c r="F531" s="627"/>
      <c r="G531" s="627"/>
      <c r="H531" s="627"/>
      <c r="I531" s="628"/>
      <c r="J531" s="629"/>
      <c r="K531" s="629"/>
      <c r="L531" s="629"/>
      <c r="M531" s="629"/>
      <c r="N531" s="629"/>
      <c r="O531" s="618"/>
      <c r="P531" s="618"/>
      <c r="Q531" s="618"/>
      <c r="R531" s="618"/>
      <c r="S531" s="618"/>
      <c r="T531" s="618"/>
      <c r="U531" s="618"/>
      <c r="Y531" s="619"/>
    </row>
    <row r="532" spans="1:25" x14ac:dyDescent="0.2">
      <c r="A532" s="615"/>
      <c r="B532" s="615"/>
      <c r="C532" s="615"/>
      <c r="D532" s="615"/>
      <c r="E532" s="615"/>
      <c r="F532" s="627"/>
      <c r="G532" s="627"/>
      <c r="H532" s="627"/>
      <c r="I532" s="628"/>
      <c r="J532" s="629"/>
      <c r="K532" s="629"/>
      <c r="L532" s="629"/>
      <c r="M532" s="629"/>
      <c r="N532" s="629"/>
      <c r="O532" s="618"/>
      <c r="P532" s="618"/>
      <c r="Q532" s="618"/>
      <c r="R532" s="618"/>
      <c r="S532" s="618"/>
      <c r="T532" s="618"/>
      <c r="U532" s="618"/>
      <c r="Y532" s="619"/>
    </row>
    <row r="533" spans="1:25" x14ac:dyDescent="0.2">
      <c r="A533" s="615"/>
      <c r="B533" s="615"/>
      <c r="C533" s="615"/>
      <c r="D533" s="615"/>
      <c r="E533" s="615"/>
      <c r="F533" s="627"/>
      <c r="G533" s="627"/>
      <c r="H533" s="627"/>
      <c r="I533" s="628"/>
      <c r="J533" s="629"/>
      <c r="K533" s="629"/>
      <c r="L533" s="629"/>
      <c r="M533" s="629"/>
      <c r="N533" s="629"/>
      <c r="O533" s="618"/>
      <c r="P533" s="618"/>
      <c r="Q533" s="618"/>
      <c r="R533" s="618"/>
      <c r="S533" s="618"/>
      <c r="T533" s="618"/>
      <c r="U533" s="618"/>
      <c r="Y533" s="619"/>
    </row>
    <row r="534" spans="1:25" x14ac:dyDescent="0.2">
      <c r="A534" s="615"/>
      <c r="B534" s="615"/>
      <c r="C534" s="615"/>
      <c r="D534" s="615"/>
      <c r="E534" s="615"/>
      <c r="F534" s="627"/>
      <c r="G534" s="627"/>
      <c r="H534" s="627"/>
      <c r="I534" s="628"/>
      <c r="J534" s="629"/>
      <c r="K534" s="629"/>
      <c r="L534" s="629"/>
      <c r="M534" s="629"/>
      <c r="N534" s="629"/>
      <c r="O534" s="618"/>
      <c r="P534" s="618"/>
      <c r="Q534" s="618"/>
      <c r="R534" s="618"/>
      <c r="S534" s="618"/>
      <c r="T534" s="618"/>
      <c r="U534" s="618"/>
      <c r="Y534" s="619"/>
    </row>
    <row r="535" spans="1:25" x14ac:dyDescent="0.2">
      <c r="A535" s="615"/>
      <c r="B535" s="615"/>
      <c r="C535" s="615"/>
      <c r="D535" s="615"/>
      <c r="E535" s="615"/>
      <c r="F535" s="627"/>
      <c r="G535" s="627"/>
      <c r="H535" s="627"/>
      <c r="I535" s="628"/>
      <c r="J535" s="629"/>
      <c r="K535" s="629"/>
      <c r="L535" s="629"/>
      <c r="M535" s="629"/>
      <c r="N535" s="629"/>
      <c r="O535" s="618"/>
      <c r="P535" s="618"/>
      <c r="Q535" s="618"/>
      <c r="R535" s="618"/>
      <c r="S535" s="618"/>
      <c r="T535" s="618"/>
      <c r="U535" s="618"/>
      <c r="Y535" s="619"/>
    </row>
    <row r="536" spans="1:25" x14ac:dyDescent="0.2">
      <c r="A536" s="615"/>
      <c r="B536" s="615"/>
      <c r="C536" s="615"/>
      <c r="D536" s="615"/>
      <c r="E536" s="615"/>
      <c r="F536" s="627"/>
      <c r="G536" s="627"/>
      <c r="H536" s="627"/>
      <c r="I536" s="628"/>
      <c r="J536" s="629"/>
      <c r="K536" s="629"/>
      <c r="L536" s="629"/>
      <c r="M536" s="629"/>
      <c r="N536" s="629"/>
      <c r="O536" s="618"/>
      <c r="P536" s="618"/>
      <c r="Q536" s="618"/>
      <c r="R536" s="618"/>
      <c r="S536" s="618"/>
      <c r="T536" s="618"/>
      <c r="U536" s="618"/>
      <c r="Y536" s="619"/>
    </row>
    <row r="537" spans="1:25" x14ac:dyDescent="0.2">
      <c r="A537" s="615"/>
      <c r="B537" s="615"/>
      <c r="C537" s="615"/>
      <c r="D537" s="615"/>
      <c r="E537" s="615"/>
      <c r="F537" s="627"/>
      <c r="G537" s="627"/>
      <c r="H537" s="627"/>
      <c r="I537" s="628"/>
      <c r="J537" s="629"/>
      <c r="K537" s="629"/>
      <c r="L537" s="629"/>
      <c r="M537" s="629"/>
      <c r="N537" s="629"/>
      <c r="O537" s="618"/>
      <c r="P537" s="618"/>
      <c r="Q537" s="618"/>
      <c r="R537" s="618"/>
      <c r="S537" s="618"/>
      <c r="T537" s="618"/>
      <c r="U537" s="618"/>
      <c r="Y537" s="619"/>
    </row>
    <row r="538" spans="1:25" x14ac:dyDescent="0.2">
      <c r="A538" s="615"/>
      <c r="B538" s="615"/>
      <c r="C538" s="615"/>
      <c r="D538" s="615"/>
      <c r="E538" s="615"/>
      <c r="F538" s="627"/>
      <c r="G538" s="627"/>
      <c r="H538" s="627"/>
      <c r="I538" s="628"/>
      <c r="J538" s="629"/>
      <c r="K538" s="629"/>
      <c r="L538" s="629"/>
      <c r="M538" s="629"/>
      <c r="N538" s="629"/>
      <c r="O538" s="618"/>
      <c r="P538" s="618"/>
      <c r="Q538" s="618"/>
      <c r="R538" s="618"/>
      <c r="S538" s="618"/>
      <c r="T538" s="618"/>
      <c r="U538" s="618"/>
      <c r="Y538" s="619"/>
    </row>
    <row r="539" spans="1:25" x14ac:dyDescent="0.2">
      <c r="A539" s="615"/>
      <c r="B539" s="615"/>
      <c r="C539" s="615"/>
      <c r="D539" s="615"/>
      <c r="E539" s="615"/>
      <c r="F539" s="627"/>
      <c r="G539" s="627"/>
      <c r="H539" s="627"/>
      <c r="I539" s="628"/>
      <c r="J539" s="629"/>
      <c r="K539" s="629"/>
      <c r="L539" s="629"/>
      <c r="M539" s="629"/>
      <c r="N539" s="629"/>
      <c r="O539" s="618"/>
      <c r="P539" s="618"/>
      <c r="Q539" s="618"/>
      <c r="R539" s="618"/>
      <c r="S539" s="618"/>
      <c r="T539" s="618"/>
      <c r="U539" s="618"/>
      <c r="Y539" s="619"/>
    </row>
    <row r="540" spans="1:25" x14ac:dyDescent="0.2">
      <c r="A540" s="615"/>
      <c r="B540" s="615"/>
      <c r="C540" s="615"/>
      <c r="D540" s="615"/>
      <c r="E540" s="615"/>
      <c r="F540" s="627"/>
      <c r="G540" s="627"/>
      <c r="H540" s="627"/>
      <c r="I540" s="628"/>
      <c r="J540" s="629"/>
      <c r="K540" s="629"/>
      <c r="L540" s="629"/>
      <c r="M540" s="629"/>
      <c r="N540" s="629"/>
      <c r="O540" s="618"/>
      <c r="P540" s="618"/>
      <c r="Q540" s="618"/>
      <c r="R540" s="618"/>
      <c r="S540" s="618"/>
      <c r="T540" s="618"/>
      <c r="U540" s="618"/>
      <c r="Y540" s="619"/>
    </row>
    <row r="541" spans="1:25" x14ac:dyDescent="0.2">
      <c r="A541" s="615"/>
      <c r="B541" s="615"/>
      <c r="C541" s="615"/>
      <c r="D541" s="615"/>
      <c r="E541" s="615"/>
      <c r="F541" s="627"/>
      <c r="G541" s="627"/>
      <c r="H541" s="627"/>
      <c r="I541" s="628"/>
      <c r="J541" s="629"/>
      <c r="K541" s="629"/>
      <c r="L541" s="629"/>
      <c r="M541" s="629"/>
      <c r="N541" s="629"/>
      <c r="O541" s="618"/>
      <c r="P541" s="618"/>
      <c r="Q541" s="618"/>
      <c r="R541" s="618"/>
      <c r="S541" s="618"/>
      <c r="T541" s="618"/>
      <c r="U541" s="618"/>
      <c r="Y541" s="619"/>
    </row>
    <row r="542" spans="1:25" x14ac:dyDescent="0.2">
      <c r="A542" s="615"/>
      <c r="B542" s="615"/>
      <c r="C542" s="615"/>
      <c r="D542" s="615"/>
      <c r="E542" s="615"/>
      <c r="F542" s="627"/>
      <c r="G542" s="627"/>
      <c r="H542" s="627"/>
      <c r="I542" s="628"/>
      <c r="J542" s="629"/>
      <c r="K542" s="629"/>
      <c r="L542" s="629"/>
      <c r="M542" s="629"/>
      <c r="N542" s="629"/>
      <c r="O542" s="618"/>
      <c r="P542" s="618"/>
      <c r="Q542" s="618"/>
      <c r="R542" s="618"/>
      <c r="S542" s="618"/>
      <c r="T542" s="618"/>
      <c r="U542" s="618"/>
      <c r="Y542" s="619"/>
    </row>
    <row r="543" spans="1:25" x14ac:dyDescent="0.2">
      <c r="A543" s="615"/>
      <c r="B543" s="615"/>
      <c r="C543" s="615"/>
      <c r="D543" s="615"/>
      <c r="E543" s="615"/>
      <c r="F543" s="627"/>
      <c r="G543" s="627"/>
      <c r="H543" s="627"/>
      <c r="I543" s="628"/>
      <c r="J543" s="629"/>
      <c r="K543" s="629"/>
      <c r="L543" s="629"/>
      <c r="M543" s="629"/>
      <c r="N543" s="629"/>
      <c r="O543" s="618"/>
      <c r="P543" s="618"/>
      <c r="Q543" s="618"/>
      <c r="R543" s="618"/>
      <c r="S543" s="618"/>
      <c r="T543" s="618"/>
      <c r="U543" s="618"/>
      <c r="Y543" s="619"/>
    </row>
    <row r="544" spans="1:25" x14ac:dyDescent="0.2">
      <c r="A544" s="615"/>
      <c r="B544" s="615"/>
      <c r="C544" s="615"/>
      <c r="D544" s="615"/>
      <c r="E544" s="615"/>
      <c r="F544" s="627"/>
      <c r="G544" s="627"/>
      <c r="H544" s="627"/>
      <c r="I544" s="628"/>
      <c r="J544" s="629"/>
      <c r="K544" s="629"/>
      <c r="L544" s="629"/>
      <c r="M544" s="629"/>
      <c r="N544" s="629"/>
      <c r="O544" s="618"/>
      <c r="P544" s="618"/>
      <c r="Q544" s="618"/>
      <c r="R544" s="618"/>
      <c r="S544" s="618"/>
      <c r="T544" s="618"/>
      <c r="U544" s="618"/>
      <c r="Y544" s="619"/>
    </row>
    <row r="545" spans="1:25" x14ac:dyDescent="0.2">
      <c r="A545" s="615"/>
      <c r="B545" s="615"/>
      <c r="C545" s="615"/>
      <c r="D545" s="615"/>
      <c r="E545" s="615"/>
      <c r="F545" s="627"/>
      <c r="G545" s="627"/>
      <c r="H545" s="627"/>
      <c r="I545" s="628"/>
      <c r="J545" s="629"/>
      <c r="K545" s="629"/>
      <c r="L545" s="629"/>
      <c r="M545" s="629"/>
      <c r="N545" s="629"/>
      <c r="O545" s="618"/>
      <c r="P545" s="618"/>
      <c r="Q545" s="618"/>
      <c r="R545" s="618"/>
      <c r="S545" s="618"/>
      <c r="T545" s="618"/>
      <c r="U545" s="618"/>
      <c r="Y545" s="619"/>
    </row>
    <row r="546" spans="1:25" x14ac:dyDescent="0.2">
      <c r="A546" s="615"/>
      <c r="B546" s="615"/>
      <c r="C546" s="615"/>
      <c r="D546" s="615"/>
      <c r="E546" s="615"/>
      <c r="F546" s="627"/>
      <c r="G546" s="627"/>
      <c r="H546" s="627"/>
      <c r="I546" s="628"/>
      <c r="J546" s="629"/>
      <c r="K546" s="629"/>
      <c r="L546" s="629"/>
      <c r="M546" s="629"/>
      <c r="N546" s="629"/>
      <c r="O546" s="618"/>
      <c r="P546" s="618"/>
      <c r="Q546" s="618"/>
      <c r="R546" s="618"/>
      <c r="S546" s="618"/>
      <c r="T546" s="618"/>
      <c r="U546" s="618"/>
      <c r="Y546" s="619"/>
    </row>
    <row r="547" spans="1:25" x14ac:dyDescent="0.2">
      <c r="A547" s="615"/>
      <c r="B547" s="615"/>
      <c r="C547" s="615"/>
      <c r="D547" s="615"/>
      <c r="E547" s="615"/>
      <c r="F547" s="627"/>
      <c r="G547" s="627"/>
      <c r="H547" s="627"/>
      <c r="I547" s="628"/>
      <c r="J547" s="629"/>
      <c r="K547" s="629"/>
      <c r="L547" s="629"/>
      <c r="M547" s="629"/>
      <c r="N547" s="629"/>
      <c r="O547" s="618"/>
      <c r="P547" s="618"/>
      <c r="Q547" s="618"/>
      <c r="R547" s="618"/>
      <c r="S547" s="618"/>
      <c r="T547" s="618"/>
      <c r="U547" s="618"/>
      <c r="Y547" s="619"/>
    </row>
    <row r="548" spans="1:25" x14ac:dyDescent="0.2">
      <c r="A548" s="615"/>
      <c r="B548" s="615"/>
      <c r="C548" s="615"/>
      <c r="D548" s="615"/>
      <c r="E548" s="615"/>
      <c r="F548" s="627"/>
      <c r="G548" s="627"/>
      <c r="H548" s="627"/>
      <c r="I548" s="628"/>
      <c r="J548" s="629"/>
      <c r="K548" s="629"/>
      <c r="L548" s="629"/>
      <c r="M548" s="629"/>
      <c r="N548" s="629"/>
      <c r="O548" s="618"/>
      <c r="P548" s="618"/>
      <c r="Q548" s="618"/>
      <c r="R548" s="618"/>
      <c r="S548" s="618"/>
      <c r="T548" s="618"/>
      <c r="U548" s="618"/>
      <c r="Y548" s="619"/>
    </row>
    <row r="549" spans="1:25" x14ac:dyDescent="0.2">
      <c r="A549" s="615"/>
      <c r="B549" s="615"/>
      <c r="C549" s="615"/>
      <c r="D549" s="615"/>
      <c r="E549" s="615"/>
      <c r="F549" s="627"/>
      <c r="G549" s="627"/>
      <c r="H549" s="627"/>
      <c r="I549" s="628"/>
      <c r="J549" s="629"/>
      <c r="K549" s="629"/>
      <c r="L549" s="629"/>
      <c r="M549" s="629"/>
      <c r="N549" s="629"/>
      <c r="O549" s="618"/>
      <c r="P549" s="618"/>
      <c r="Q549" s="618"/>
      <c r="R549" s="618"/>
      <c r="S549" s="618"/>
      <c r="T549" s="618"/>
      <c r="U549" s="618"/>
      <c r="Y549" s="619"/>
    </row>
    <row r="550" spans="1:25" x14ac:dyDescent="0.2">
      <c r="A550" s="615"/>
      <c r="B550" s="615"/>
      <c r="C550" s="615"/>
      <c r="D550" s="615"/>
      <c r="E550" s="615"/>
      <c r="F550" s="627"/>
      <c r="G550" s="627"/>
      <c r="H550" s="627"/>
      <c r="I550" s="628"/>
      <c r="J550" s="629"/>
      <c r="K550" s="629"/>
      <c r="L550" s="629"/>
      <c r="M550" s="629"/>
      <c r="N550" s="629"/>
      <c r="O550" s="618"/>
      <c r="P550" s="618"/>
      <c r="Q550" s="618"/>
      <c r="R550" s="618"/>
      <c r="S550" s="618"/>
      <c r="T550" s="618"/>
      <c r="U550" s="618"/>
      <c r="Y550" s="619"/>
    </row>
    <row r="551" spans="1:25" x14ac:dyDescent="0.2">
      <c r="A551" s="615"/>
      <c r="B551" s="615"/>
      <c r="C551" s="615"/>
      <c r="D551" s="615"/>
      <c r="E551" s="615"/>
      <c r="F551" s="627"/>
      <c r="G551" s="627"/>
      <c r="H551" s="627"/>
      <c r="I551" s="628"/>
      <c r="J551" s="629"/>
      <c r="K551" s="629"/>
      <c r="L551" s="629"/>
      <c r="M551" s="629"/>
      <c r="N551" s="629"/>
      <c r="O551" s="618"/>
      <c r="P551" s="618"/>
      <c r="Q551" s="618"/>
      <c r="R551" s="618"/>
      <c r="S551" s="618"/>
      <c r="T551" s="618"/>
      <c r="U551" s="618"/>
      <c r="Y551" s="619"/>
    </row>
    <row r="552" spans="1:25" x14ac:dyDescent="0.2">
      <c r="A552" s="615"/>
      <c r="B552" s="615"/>
      <c r="C552" s="615"/>
      <c r="D552" s="615"/>
      <c r="E552" s="615"/>
      <c r="F552" s="627"/>
      <c r="G552" s="627"/>
      <c r="H552" s="627"/>
      <c r="I552" s="628"/>
      <c r="J552" s="629"/>
      <c r="K552" s="629"/>
      <c r="L552" s="629"/>
      <c r="M552" s="629"/>
      <c r="N552" s="629"/>
      <c r="O552" s="618"/>
      <c r="P552" s="618"/>
      <c r="Q552" s="618"/>
      <c r="R552" s="618"/>
      <c r="S552" s="618"/>
      <c r="T552" s="618"/>
      <c r="U552" s="618"/>
      <c r="Y552" s="619"/>
    </row>
    <row r="553" spans="1:25" x14ac:dyDescent="0.2">
      <c r="A553" s="615"/>
      <c r="B553" s="615"/>
      <c r="C553" s="615"/>
      <c r="D553" s="615"/>
      <c r="E553" s="615"/>
      <c r="F553" s="627"/>
      <c r="G553" s="627"/>
      <c r="H553" s="627"/>
      <c r="I553" s="628"/>
      <c r="J553" s="629"/>
      <c r="K553" s="629"/>
      <c r="L553" s="629"/>
      <c r="M553" s="629"/>
      <c r="N553" s="629"/>
      <c r="O553" s="618"/>
      <c r="P553" s="618"/>
      <c r="Q553" s="618"/>
      <c r="R553" s="618"/>
      <c r="S553" s="618"/>
      <c r="T553" s="618"/>
      <c r="U553" s="618"/>
      <c r="Y553" s="619"/>
    </row>
    <row r="554" spans="1:25" x14ac:dyDescent="0.2">
      <c r="A554" s="615"/>
      <c r="B554" s="615"/>
      <c r="C554" s="615"/>
      <c r="D554" s="615"/>
      <c r="E554" s="615"/>
      <c r="F554" s="627"/>
      <c r="G554" s="627"/>
      <c r="H554" s="627"/>
      <c r="I554" s="628"/>
      <c r="J554" s="629"/>
      <c r="K554" s="629"/>
      <c r="L554" s="629"/>
      <c r="M554" s="629"/>
      <c r="N554" s="629"/>
      <c r="O554" s="618"/>
      <c r="P554" s="618"/>
      <c r="Q554" s="618"/>
      <c r="R554" s="618"/>
      <c r="S554" s="618"/>
      <c r="T554" s="618"/>
      <c r="U554" s="618"/>
      <c r="Y554" s="619"/>
    </row>
    <row r="555" spans="1:25" x14ac:dyDescent="0.2">
      <c r="A555" s="615"/>
      <c r="B555" s="615"/>
      <c r="C555" s="615"/>
      <c r="D555" s="615"/>
      <c r="E555" s="615"/>
      <c r="F555" s="627"/>
      <c r="G555" s="627"/>
      <c r="H555" s="627"/>
      <c r="I555" s="628"/>
      <c r="J555" s="629"/>
      <c r="K555" s="629"/>
      <c r="L555" s="629"/>
      <c r="M555" s="629"/>
      <c r="N555" s="629"/>
      <c r="O555" s="618"/>
      <c r="P555" s="618"/>
      <c r="Q555" s="618"/>
      <c r="R555" s="618"/>
      <c r="S555" s="618"/>
      <c r="T555" s="618"/>
      <c r="U555" s="618"/>
      <c r="Y555" s="619"/>
    </row>
    <row r="556" spans="1:25" x14ac:dyDescent="0.2">
      <c r="A556" s="615"/>
      <c r="B556" s="615"/>
      <c r="C556" s="615"/>
      <c r="D556" s="615"/>
      <c r="E556" s="615"/>
      <c r="F556" s="627"/>
      <c r="G556" s="627"/>
      <c r="H556" s="627"/>
      <c r="I556" s="628"/>
      <c r="J556" s="629"/>
      <c r="K556" s="629"/>
      <c r="L556" s="629"/>
      <c r="M556" s="629"/>
      <c r="N556" s="629"/>
      <c r="O556" s="618"/>
      <c r="P556" s="618"/>
      <c r="Q556" s="618"/>
      <c r="R556" s="618"/>
      <c r="S556" s="618"/>
      <c r="T556" s="618"/>
      <c r="U556" s="618"/>
      <c r="Y556" s="619"/>
    </row>
    <row r="557" spans="1:25" x14ac:dyDescent="0.2">
      <c r="A557" s="615"/>
      <c r="B557" s="615"/>
      <c r="C557" s="615"/>
      <c r="D557" s="615"/>
      <c r="E557" s="615"/>
      <c r="F557" s="627"/>
      <c r="G557" s="627"/>
      <c r="H557" s="627"/>
      <c r="I557" s="628"/>
      <c r="J557" s="629"/>
      <c r="K557" s="629"/>
      <c r="L557" s="629"/>
      <c r="M557" s="629"/>
      <c r="N557" s="629"/>
      <c r="O557" s="618"/>
      <c r="P557" s="618"/>
      <c r="Q557" s="618"/>
      <c r="R557" s="618"/>
      <c r="S557" s="618"/>
      <c r="T557" s="618"/>
      <c r="U557" s="618"/>
      <c r="Y557" s="619"/>
    </row>
    <row r="558" spans="1:25" x14ac:dyDescent="0.2">
      <c r="A558" s="615"/>
      <c r="B558" s="615"/>
      <c r="C558" s="615"/>
      <c r="D558" s="615"/>
      <c r="E558" s="615"/>
      <c r="F558" s="627"/>
      <c r="G558" s="627"/>
      <c r="H558" s="627"/>
      <c r="I558" s="628"/>
      <c r="J558" s="629"/>
      <c r="K558" s="629"/>
      <c r="L558" s="629"/>
      <c r="M558" s="629"/>
      <c r="N558" s="629"/>
      <c r="O558" s="618"/>
      <c r="P558" s="618"/>
      <c r="Q558" s="618"/>
      <c r="R558" s="618"/>
      <c r="S558" s="618"/>
      <c r="T558" s="618"/>
      <c r="U558" s="618"/>
      <c r="Y558" s="619"/>
    </row>
    <row r="559" spans="1:25" x14ac:dyDescent="0.2">
      <c r="A559" s="615"/>
      <c r="B559" s="615"/>
      <c r="C559" s="615"/>
      <c r="D559" s="615"/>
      <c r="E559" s="615"/>
      <c r="F559" s="627"/>
      <c r="G559" s="627"/>
      <c r="H559" s="627"/>
      <c r="I559" s="628"/>
      <c r="J559" s="629"/>
      <c r="K559" s="629"/>
      <c r="L559" s="629"/>
      <c r="M559" s="629"/>
      <c r="N559" s="629"/>
      <c r="O559" s="618"/>
      <c r="P559" s="618"/>
      <c r="Q559" s="618"/>
      <c r="R559" s="618"/>
      <c r="S559" s="618"/>
      <c r="T559" s="618"/>
      <c r="U559" s="618"/>
      <c r="Y559" s="619"/>
    </row>
    <row r="560" spans="1:25" x14ac:dyDescent="0.2">
      <c r="A560" s="615"/>
      <c r="B560" s="615"/>
      <c r="C560" s="615"/>
      <c r="D560" s="615"/>
      <c r="E560" s="615"/>
      <c r="F560" s="627"/>
      <c r="G560" s="627"/>
      <c r="H560" s="627"/>
      <c r="I560" s="628"/>
      <c r="J560" s="629"/>
      <c r="K560" s="629"/>
      <c r="L560" s="629"/>
      <c r="M560" s="629"/>
      <c r="N560" s="629"/>
      <c r="O560" s="618"/>
      <c r="P560" s="618"/>
      <c r="Q560" s="618"/>
      <c r="R560" s="618"/>
      <c r="S560" s="618"/>
      <c r="T560" s="618"/>
      <c r="U560" s="618"/>
      <c r="Y560" s="619"/>
    </row>
    <row r="561" spans="1:25" x14ac:dyDescent="0.2">
      <c r="A561" s="615"/>
      <c r="B561" s="615"/>
      <c r="C561" s="615"/>
      <c r="D561" s="615"/>
      <c r="E561" s="615"/>
      <c r="F561" s="627"/>
      <c r="G561" s="627"/>
      <c r="H561" s="627"/>
      <c r="I561" s="628"/>
      <c r="J561" s="629"/>
      <c r="K561" s="629"/>
      <c r="L561" s="629"/>
      <c r="M561" s="629"/>
      <c r="N561" s="629"/>
      <c r="O561" s="618"/>
      <c r="P561" s="618"/>
      <c r="Q561" s="618"/>
      <c r="R561" s="618"/>
      <c r="S561" s="618"/>
      <c r="T561" s="618"/>
      <c r="U561" s="618"/>
      <c r="Y561" s="619"/>
    </row>
    <row r="562" spans="1:25" x14ac:dyDescent="0.2">
      <c r="A562" s="615"/>
      <c r="B562" s="615"/>
      <c r="C562" s="615"/>
      <c r="D562" s="615"/>
      <c r="E562" s="615"/>
      <c r="F562" s="627"/>
      <c r="G562" s="627"/>
      <c r="H562" s="627"/>
      <c r="I562" s="628"/>
      <c r="J562" s="629"/>
      <c r="K562" s="629"/>
      <c r="L562" s="629"/>
      <c r="M562" s="629"/>
      <c r="N562" s="629"/>
      <c r="O562" s="618"/>
      <c r="P562" s="618"/>
      <c r="Q562" s="618"/>
      <c r="R562" s="618"/>
      <c r="S562" s="618"/>
      <c r="T562" s="618"/>
      <c r="U562" s="618"/>
      <c r="Y562" s="619"/>
    </row>
    <row r="563" spans="1:25" x14ac:dyDescent="0.2">
      <c r="A563" s="615"/>
      <c r="B563" s="615"/>
      <c r="C563" s="615"/>
      <c r="D563" s="615"/>
      <c r="E563" s="615"/>
      <c r="F563" s="627"/>
      <c r="G563" s="627"/>
      <c r="H563" s="627"/>
      <c r="I563" s="628"/>
      <c r="J563" s="629"/>
      <c r="K563" s="629"/>
      <c r="L563" s="629"/>
      <c r="M563" s="629"/>
      <c r="N563" s="629"/>
      <c r="O563" s="618"/>
      <c r="P563" s="618"/>
      <c r="Q563" s="618"/>
      <c r="R563" s="618"/>
      <c r="S563" s="618"/>
      <c r="T563" s="618"/>
      <c r="U563" s="618"/>
      <c r="Y563" s="619"/>
    </row>
    <row r="564" spans="1:25" x14ac:dyDescent="0.2">
      <c r="A564" s="615"/>
      <c r="B564" s="615"/>
      <c r="C564" s="615"/>
      <c r="D564" s="615"/>
      <c r="E564" s="615"/>
      <c r="F564" s="627"/>
      <c r="G564" s="627"/>
      <c r="H564" s="627"/>
      <c r="I564" s="628"/>
      <c r="J564" s="629"/>
      <c r="K564" s="629"/>
      <c r="L564" s="629"/>
      <c r="M564" s="629"/>
      <c r="N564" s="629"/>
      <c r="O564" s="618"/>
      <c r="P564" s="618"/>
      <c r="Q564" s="618"/>
      <c r="R564" s="618"/>
      <c r="S564" s="618"/>
      <c r="T564" s="618"/>
      <c r="U564" s="618"/>
      <c r="Y564" s="619"/>
    </row>
    <row r="565" spans="1:25" x14ac:dyDescent="0.2">
      <c r="A565" s="615"/>
      <c r="B565" s="615"/>
      <c r="C565" s="615"/>
      <c r="D565" s="615"/>
      <c r="E565" s="615"/>
      <c r="F565" s="627"/>
      <c r="G565" s="627"/>
      <c r="H565" s="627"/>
      <c r="I565" s="628"/>
      <c r="J565" s="629"/>
      <c r="K565" s="629"/>
      <c r="L565" s="629"/>
      <c r="M565" s="629"/>
      <c r="N565" s="629"/>
      <c r="O565" s="618"/>
      <c r="P565" s="618"/>
      <c r="Q565" s="618"/>
      <c r="R565" s="618"/>
      <c r="S565" s="618"/>
      <c r="T565" s="618"/>
      <c r="U565" s="618"/>
      <c r="Y565" s="619"/>
    </row>
    <row r="566" spans="1:25" x14ac:dyDescent="0.2">
      <c r="A566" s="615"/>
      <c r="B566" s="615"/>
      <c r="C566" s="615"/>
      <c r="D566" s="615"/>
      <c r="E566" s="615"/>
      <c r="F566" s="627"/>
      <c r="G566" s="627"/>
      <c r="H566" s="627"/>
      <c r="I566" s="628"/>
      <c r="J566" s="629"/>
      <c r="K566" s="629"/>
      <c r="L566" s="629"/>
      <c r="M566" s="629"/>
      <c r="N566" s="629"/>
      <c r="O566" s="618"/>
      <c r="P566" s="618"/>
      <c r="Q566" s="618"/>
      <c r="R566" s="618"/>
      <c r="S566" s="618"/>
      <c r="T566" s="618"/>
      <c r="U566" s="618"/>
      <c r="Y566" s="619"/>
    </row>
    <row r="567" spans="1:25" x14ac:dyDescent="0.2">
      <c r="A567" s="615"/>
      <c r="B567" s="615"/>
      <c r="C567" s="615"/>
      <c r="D567" s="615"/>
      <c r="E567" s="615"/>
      <c r="F567" s="627"/>
      <c r="G567" s="627"/>
      <c r="H567" s="627"/>
      <c r="I567" s="628"/>
      <c r="J567" s="629"/>
      <c r="K567" s="629"/>
      <c r="L567" s="629"/>
      <c r="M567" s="629"/>
      <c r="N567" s="629"/>
      <c r="O567" s="618"/>
      <c r="P567" s="618"/>
      <c r="Q567" s="618"/>
      <c r="R567" s="618"/>
      <c r="S567" s="618"/>
      <c r="T567" s="618"/>
      <c r="U567" s="618"/>
      <c r="Y567" s="619"/>
    </row>
    <row r="568" spans="1:25" x14ac:dyDescent="0.2">
      <c r="A568" s="615"/>
      <c r="B568" s="615"/>
      <c r="C568" s="615"/>
      <c r="D568" s="615"/>
      <c r="E568" s="615"/>
      <c r="F568" s="627"/>
      <c r="G568" s="627"/>
      <c r="H568" s="627"/>
      <c r="I568" s="628"/>
      <c r="J568" s="629"/>
      <c r="K568" s="629"/>
      <c r="L568" s="629"/>
      <c r="M568" s="629"/>
      <c r="N568" s="629"/>
      <c r="O568" s="618"/>
      <c r="P568" s="618"/>
      <c r="Q568" s="618"/>
      <c r="R568" s="618"/>
      <c r="S568" s="618"/>
      <c r="T568" s="618"/>
      <c r="U568" s="618"/>
      <c r="Y568" s="619"/>
    </row>
    <row r="569" spans="1:25" x14ac:dyDescent="0.2">
      <c r="A569" s="615"/>
      <c r="B569" s="615"/>
      <c r="C569" s="615"/>
      <c r="D569" s="615"/>
      <c r="E569" s="615"/>
      <c r="F569" s="627"/>
      <c r="G569" s="627"/>
      <c r="H569" s="627"/>
      <c r="I569" s="628"/>
      <c r="J569" s="629"/>
      <c r="K569" s="629"/>
      <c r="L569" s="629"/>
      <c r="M569" s="629"/>
      <c r="N569" s="629"/>
      <c r="O569" s="618"/>
      <c r="P569" s="618"/>
      <c r="Q569" s="618"/>
      <c r="R569" s="618"/>
      <c r="S569" s="618"/>
      <c r="T569" s="618"/>
      <c r="U569" s="618"/>
      <c r="Y569" s="619"/>
    </row>
    <row r="570" spans="1:25" x14ac:dyDescent="0.2">
      <c r="A570" s="615"/>
      <c r="B570" s="615"/>
      <c r="C570" s="615"/>
      <c r="D570" s="615"/>
      <c r="E570" s="615"/>
      <c r="F570" s="627"/>
      <c r="G570" s="627"/>
      <c r="H570" s="627"/>
      <c r="I570" s="628"/>
      <c r="J570" s="629"/>
      <c r="K570" s="629"/>
      <c r="L570" s="629"/>
      <c r="M570" s="629"/>
      <c r="N570" s="629"/>
      <c r="O570" s="618"/>
      <c r="P570" s="618"/>
      <c r="Q570" s="618"/>
      <c r="R570" s="618"/>
      <c r="S570" s="618"/>
      <c r="T570" s="618"/>
      <c r="U570" s="618"/>
      <c r="Y570" s="619"/>
    </row>
    <row r="571" spans="1:25" x14ac:dyDescent="0.2">
      <c r="A571" s="615"/>
      <c r="B571" s="615"/>
      <c r="C571" s="615"/>
      <c r="D571" s="615"/>
      <c r="E571" s="615"/>
      <c r="F571" s="627"/>
      <c r="G571" s="627"/>
      <c r="H571" s="627"/>
      <c r="I571" s="628"/>
      <c r="J571" s="629"/>
      <c r="K571" s="629"/>
      <c r="L571" s="629"/>
      <c r="M571" s="629"/>
      <c r="N571" s="629"/>
      <c r="O571" s="618"/>
      <c r="P571" s="618"/>
      <c r="Q571" s="618"/>
      <c r="R571" s="618"/>
      <c r="S571" s="618"/>
      <c r="T571" s="618"/>
      <c r="U571" s="618"/>
      <c r="Y571" s="619"/>
    </row>
    <row r="572" spans="1:25" x14ac:dyDescent="0.2">
      <c r="A572" s="615"/>
      <c r="B572" s="615"/>
      <c r="C572" s="615"/>
      <c r="D572" s="615"/>
      <c r="E572" s="615"/>
      <c r="F572" s="627"/>
      <c r="G572" s="627"/>
      <c r="H572" s="627"/>
      <c r="I572" s="628"/>
      <c r="J572" s="629"/>
      <c r="K572" s="629"/>
      <c r="L572" s="629"/>
      <c r="M572" s="629"/>
      <c r="N572" s="629"/>
      <c r="O572" s="618"/>
      <c r="P572" s="618"/>
      <c r="Q572" s="618"/>
      <c r="R572" s="618"/>
      <c r="S572" s="618"/>
      <c r="T572" s="618"/>
      <c r="U572" s="618"/>
      <c r="Y572" s="619"/>
    </row>
    <row r="573" spans="1:25" x14ac:dyDescent="0.2">
      <c r="A573" s="615"/>
      <c r="B573" s="615"/>
      <c r="C573" s="615"/>
      <c r="D573" s="615"/>
      <c r="E573" s="615"/>
      <c r="F573" s="627"/>
      <c r="G573" s="627"/>
      <c r="H573" s="627"/>
      <c r="I573" s="628"/>
      <c r="J573" s="629"/>
      <c r="K573" s="629"/>
      <c r="L573" s="629"/>
      <c r="M573" s="629"/>
      <c r="N573" s="629"/>
      <c r="O573" s="618"/>
      <c r="P573" s="618"/>
      <c r="Q573" s="618"/>
      <c r="R573" s="618"/>
      <c r="S573" s="618"/>
      <c r="T573" s="618"/>
      <c r="U573" s="618"/>
      <c r="Y573" s="619"/>
    </row>
    <row r="574" spans="1:25" x14ac:dyDescent="0.2">
      <c r="A574" s="615"/>
      <c r="B574" s="615"/>
      <c r="C574" s="615"/>
      <c r="D574" s="615"/>
      <c r="E574" s="615"/>
      <c r="F574" s="627"/>
      <c r="G574" s="627"/>
      <c r="H574" s="627"/>
      <c r="I574" s="628"/>
      <c r="J574" s="629"/>
      <c r="K574" s="629"/>
      <c r="L574" s="629"/>
      <c r="M574" s="629"/>
      <c r="N574" s="629"/>
      <c r="O574" s="618"/>
      <c r="P574" s="618"/>
      <c r="Q574" s="618"/>
      <c r="R574" s="618"/>
      <c r="S574" s="618"/>
      <c r="T574" s="618"/>
      <c r="U574" s="618"/>
      <c r="Y574" s="619"/>
    </row>
    <row r="575" spans="1:25" x14ac:dyDescent="0.2">
      <c r="A575" s="615"/>
      <c r="B575" s="615"/>
      <c r="C575" s="615"/>
      <c r="D575" s="615"/>
      <c r="E575" s="615"/>
      <c r="F575" s="627"/>
      <c r="G575" s="627"/>
      <c r="H575" s="627"/>
      <c r="I575" s="628"/>
      <c r="J575" s="629"/>
      <c r="K575" s="629"/>
      <c r="L575" s="629"/>
      <c r="M575" s="629"/>
      <c r="N575" s="629"/>
      <c r="O575" s="618"/>
      <c r="P575" s="618"/>
      <c r="Q575" s="618"/>
      <c r="R575" s="618"/>
      <c r="S575" s="618"/>
      <c r="T575" s="618"/>
      <c r="U575" s="618"/>
      <c r="Y575" s="619"/>
    </row>
    <row r="576" spans="1:25" x14ac:dyDescent="0.2">
      <c r="A576" s="615"/>
      <c r="B576" s="615"/>
      <c r="C576" s="615"/>
      <c r="D576" s="615"/>
      <c r="E576" s="615"/>
      <c r="F576" s="627"/>
      <c r="G576" s="627"/>
      <c r="H576" s="627"/>
      <c r="I576" s="628"/>
      <c r="J576" s="629"/>
      <c r="K576" s="629"/>
      <c r="L576" s="629"/>
      <c r="M576" s="629"/>
      <c r="N576" s="629"/>
      <c r="O576" s="618"/>
      <c r="P576" s="618"/>
      <c r="Q576" s="618"/>
      <c r="R576" s="618"/>
      <c r="S576" s="618"/>
      <c r="T576" s="618"/>
      <c r="U576" s="618"/>
      <c r="Y576" s="619"/>
    </row>
    <row r="577" spans="1:25" x14ac:dyDescent="0.2">
      <c r="A577" s="615"/>
      <c r="B577" s="615"/>
      <c r="C577" s="615"/>
      <c r="D577" s="615"/>
      <c r="E577" s="615"/>
      <c r="F577" s="627"/>
      <c r="G577" s="627"/>
      <c r="H577" s="627"/>
      <c r="I577" s="628"/>
      <c r="J577" s="629"/>
      <c r="K577" s="629"/>
      <c r="L577" s="629"/>
      <c r="M577" s="629"/>
      <c r="N577" s="629"/>
      <c r="O577" s="618"/>
      <c r="P577" s="618"/>
      <c r="Q577" s="618"/>
      <c r="R577" s="618"/>
      <c r="S577" s="618"/>
      <c r="T577" s="618"/>
      <c r="U577" s="618"/>
      <c r="Y577" s="619"/>
    </row>
    <row r="578" spans="1:25" x14ac:dyDescent="0.2">
      <c r="A578" s="615"/>
      <c r="B578" s="615"/>
      <c r="C578" s="615"/>
      <c r="D578" s="615"/>
      <c r="E578" s="615"/>
      <c r="F578" s="627"/>
      <c r="G578" s="627"/>
      <c r="H578" s="627"/>
      <c r="I578" s="628"/>
      <c r="J578" s="629"/>
      <c r="K578" s="629"/>
      <c r="L578" s="629"/>
      <c r="M578" s="629"/>
      <c r="N578" s="629"/>
      <c r="O578" s="618"/>
      <c r="P578" s="618"/>
      <c r="Q578" s="618"/>
      <c r="R578" s="618"/>
      <c r="S578" s="618"/>
      <c r="T578" s="618"/>
      <c r="U578" s="618"/>
      <c r="Y578" s="619"/>
    </row>
    <row r="579" spans="1:25" x14ac:dyDescent="0.2">
      <c r="A579" s="615"/>
      <c r="B579" s="615"/>
      <c r="C579" s="615"/>
      <c r="D579" s="615"/>
      <c r="E579" s="615"/>
      <c r="F579" s="627"/>
      <c r="G579" s="627"/>
      <c r="H579" s="627"/>
      <c r="I579" s="628"/>
      <c r="J579" s="629"/>
      <c r="K579" s="629"/>
      <c r="L579" s="629"/>
      <c r="M579" s="629"/>
      <c r="N579" s="629"/>
      <c r="O579" s="618"/>
      <c r="P579" s="618"/>
      <c r="Q579" s="618"/>
      <c r="R579" s="618"/>
      <c r="S579" s="618"/>
      <c r="T579" s="618"/>
      <c r="U579" s="618"/>
      <c r="Y579" s="619"/>
    </row>
    <row r="580" spans="1:25" x14ac:dyDescent="0.2">
      <c r="A580" s="615"/>
      <c r="B580" s="615"/>
      <c r="C580" s="615"/>
      <c r="D580" s="615"/>
      <c r="E580" s="615"/>
      <c r="F580" s="627"/>
      <c r="G580" s="627"/>
      <c r="H580" s="627"/>
      <c r="I580" s="628"/>
      <c r="J580" s="629"/>
      <c r="K580" s="629"/>
      <c r="L580" s="629"/>
      <c r="M580" s="629"/>
      <c r="N580" s="629"/>
      <c r="O580" s="618"/>
      <c r="P580" s="618"/>
      <c r="Q580" s="618"/>
      <c r="R580" s="618"/>
      <c r="S580" s="618"/>
      <c r="T580" s="618"/>
      <c r="U580" s="618"/>
      <c r="Y580" s="619"/>
    </row>
    <row r="581" spans="1:25" x14ac:dyDescent="0.2">
      <c r="A581" s="615"/>
      <c r="B581" s="615"/>
      <c r="C581" s="615"/>
      <c r="D581" s="615"/>
      <c r="E581" s="615"/>
      <c r="F581" s="627"/>
      <c r="G581" s="627"/>
      <c r="H581" s="627"/>
      <c r="I581" s="628"/>
      <c r="J581" s="629"/>
      <c r="K581" s="629"/>
      <c r="L581" s="629"/>
      <c r="M581" s="629"/>
      <c r="N581" s="629"/>
      <c r="O581" s="618"/>
      <c r="P581" s="618"/>
      <c r="Q581" s="618"/>
      <c r="R581" s="618"/>
      <c r="S581" s="618"/>
      <c r="T581" s="618"/>
      <c r="U581" s="618"/>
      <c r="Y581" s="619"/>
    </row>
    <row r="582" spans="1:25" x14ac:dyDescent="0.2">
      <c r="A582" s="615"/>
      <c r="B582" s="615"/>
      <c r="C582" s="615"/>
      <c r="D582" s="615"/>
      <c r="E582" s="615"/>
      <c r="F582" s="627"/>
      <c r="G582" s="627"/>
      <c r="H582" s="627"/>
      <c r="I582" s="628"/>
      <c r="J582" s="629"/>
      <c r="K582" s="629"/>
      <c r="L582" s="629"/>
      <c r="M582" s="629"/>
      <c r="N582" s="629"/>
      <c r="O582" s="618"/>
      <c r="P582" s="618"/>
      <c r="Q582" s="618"/>
      <c r="R582" s="618"/>
      <c r="S582" s="618"/>
      <c r="T582" s="618"/>
      <c r="U582" s="618"/>
      <c r="Y582" s="619"/>
    </row>
    <row r="583" spans="1:25" x14ac:dyDescent="0.2">
      <c r="A583" s="615"/>
      <c r="B583" s="615"/>
      <c r="C583" s="615"/>
      <c r="D583" s="615"/>
      <c r="E583" s="615"/>
      <c r="F583" s="627"/>
      <c r="G583" s="627"/>
      <c r="H583" s="627"/>
      <c r="I583" s="628"/>
      <c r="J583" s="629"/>
      <c r="K583" s="629"/>
      <c r="L583" s="629"/>
      <c r="M583" s="629"/>
      <c r="N583" s="629"/>
      <c r="O583" s="618"/>
      <c r="P583" s="618"/>
      <c r="Q583" s="618"/>
      <c r="R583" s="618"/>
      <c r="S583" s="618"/>
      <c r="T583" s="618"/>
      <c r="U583" s="618"/>
      <c r="Y583" s="619"/>
    </row>
    <row r="584" spans="1:25" x14ac:dyDescent="0.2">
      <c r="A584" s="615"/>
      <c r="B584" s="615"/>
      <c r="C584" s="615"/>
      <c r="D584" s="615"/>
      <c r="E584" s="615"/>
      <c r="F584" s="627"/>
      <c r="G584" s="627"/>
      <c r="H584" s="627"/>
      <c r="I584" s="628"/>
      <c r="J584" s="629"/>
      <c r="K584" s="629"/>
      <c r="L584" s="629"/>
      <c r="M584" s="629"/>
      <c r="N584" s="629"/>
      <c r="O584" s="618"/>
      <c r="P584" s="618"/>
      <c r="Q584" s="618"/>
      <c r="R584" s="618"/>
      <c r="S584" s="618"/>
      <c r="T584" s="618"/>
      <c r="U584" s="618"/>
      <c r="Y584" s="619"/>
    </row>
    <row r="585" spans="1:25" x14ac:dyDescent="0.2">
      <c r="A585" s="615"/>
      <c r="B585" s="615"/>
      <c r="C585" s="615"/>
      <c r="D585" s="615"/>
      <c r="E585" s="615"/>
      <c r="F585" s="627"/>
      <c r="G585" s="627"/>
      <c r="H585" s="627"/>
      <c r="I585" s="628"/>
      <c r="J585" s="629"/>
      <c r="K585" s="629"/>
      <c r="L585" s="629"/>
      <c r="M585" s="629"/>
      <c r="N585" s="629"/>
      <c r="O585" s="618"/>
      <c r="P585" s="618"/>
      <c r="Q585" s="618"/>
      <c r="R585" s="618"/>
      <c r="S585" s="618"/>
      <c r="T585" s="618"/>
      <c r="U585" s="618"/>
      <c r="Y585" s="619"/>
    </row>
    <row r="586" spans="1:25" x14ac:dyDescent="0.2">
      <c r="A586" s="615"/>
      <c r="B586" s="615"/>
      <c r="C586" s="615"/>
      <c r="D586" s="615"/>
      <c r="E586" s="615"/>
      <c r="F586" s="627"/>
      <c r="G586" s="627"/>
      <c r="H586" s="627"/>
      <c r="I586" s="628"/>
      <c r="J586" s="629"/>
      <c r="K586" s="629"/>
      <c r="L586" s="629"/>
      <c r="M586" s="629"/>
      <c r="N586" s="629"/>
      <c r="O586" s="618"/>
      <c r="P586" s="618"/>
      <c r="Q586" s="618"/>
      <c r="R586" s="618"/>
      <c r="S586" s="618"/>
      <c r="T586" s="618"/>
      <c r="U586" s="618"/>
      <c r="Y586" s="619"/>
    </row>
    <row r="587" spans="1:25" x14ac:dyDescent="0.2">
      <c r="A587" s="615"/>
      <c r="B587" s="615"/>
      <c r="C587" s="615"/>
      <c r="D587" s="615"/>
      <c r="E587" s="615"/>
      <c r="F587" s="627"/>
      <c r="G587" s="627"/>
      <c r="H587" s="627"/>
      <c r="I587" s="628"/>
      <c r="J587" s="629"/>
      <c r="K587" s="629"/>
      <c r="L587" s="629"/>
      <c r="M587" s="629"/>
      <c r="N587" s="629"/>
      <c r="O587" s="618"/>
      <c r="P587" s="618"/>
      <c r="Q587" s="618"/>
      <c r="R587" s="618"/>
      <c r="S587" s="618"/>
      <c r="T587" s="618"/>
      <c r="U587" s="618"/>
      <c r="Y587" s="619"/>
    </row>
    <row r="588" spans="1:25" x14ac:dyDescent="0.2">
      <c r="A588" s="615"/>
      <c r="B588" s="615"/>
      <c r="C588" s="615"/>
      <c r="D588" s="615"/>
      <c r="E588" s="615"/>
      <c r="F588" s="627"/>
      <c r="G588" s="627"/>
      <c r="H588" s="627"/>
      <c r="I588" s="628"/>
      <c r="J588" s="629"/>
      <c r="K588" s="629"/>
      <c r="L588" s="629"/>
      <c r="M588" s="629"/>
      <c r="N588" s="629"/>
      <c r="O588" s="618"/>
      <c r="P588" s="618"/>
      <c r="Q588" s="618"/>
      <c r="R588" s="618"/>
      <c r="S588" s="618"/>
      <c r="T588" s="618"/>
      <c r="U588" s="618"/>
      <c r="Y588" s="619"/>
    </row>
    <row r="589" spans="1:25" x14ac:dyDescent="0.2">
      <c r="A589" s="615"/>
      <c r="B589" s="615"/>
      <c r="C589" s="615"/>
      <c r="D589" s="615"/>
      <c r="E589" s="615"/>
      <c r="F589" s="627"/>
      <c r="G589" s="627"/>
      <c r="H589" s="627"/>
      <c r="I589" s="628"/>
      <c r="J589" s="629"/>
      <c r="K589" s="629"/>
      <c r="L589" s="629"/>
      <c r="M589" s="629"/>
      <c r="N589" s="629"/>
      <c r="O589" s="618"/>
      <c r="P589" s="618"/>
      <c r="Q589" s="618"/>
      <c r="R589" s="618"/>
      <c r="S589" s="618"/>
      <c r="T589" s="618"/>
      <c r="U589" s="618"/>
      <c r="Y589" s="619"/>
    </row>
    <row r="590" spans="1:25" x14ac:dyDescent="0.2">
      <c r="A590" s="615"/>
      <c r="B590" s="615"/>
      <c r="C590" s="615"/>
      <c r="D590" s="615"/>
      <c r="E590" s="615"/>
      <c r="F590" s="627"/>
      <c r="G590" s="627"/>
      <c r="H590" s="627"/>
      <c r="I590" s="628"/>
      <c r="J590" s="629"/>
      <c r="K590" s="629"/>
      <c r="L590" s="629"/>
      <c r="M590" s="629"/>
      <c r="N590" s="629"/>
      <c r="O590" s="618"/>
      <c r="P590" s="618"/>
      <c r="Q590" s="618"/>
      <c r="R590" s="618"/>
      <c r="S590" s="618"/>
      <c r="T590" s="618"/>
      <c r="U590" s="618"/>
      <c r="Y590" s="619"/>
    </row>
    <row r="591" spans="1:25" x14ac:dyDescent="0.2">
      <c r="A591" s="615"/>
      <c r="B591" s="615"/>
      <c r="C591" s="615"/>
      <c r="D591" s="615"/>
      <c r="E591" s="615"/>
      <c r="F591" s="627"/>
      <c r="G591" s="627"/>
      <c r="H591" s="627"/>
      <c r="I591" s="628"/>
      <c r="J591" s="629"/>
      <c r="K591" s="629"/>
      <c r="L591" s="629"/>
      <c r="M591" s="629"/>
      <c r="N591" s="629"/>
      <c r="O591" s="618"/>
      <c r="P591" s="618"/>
      <c r="Q591" s="618"/>
      <c r="R591" s="618"/>
      <c r="S591" s="618"/>
      <c r="T591" s="618"/>
      <c r="U591" s="618"/>
      <c r="Y591" s="619"/>
    </row>
    <row r="592" spans="1:25" x14ac:dyDescent="0.2">
      <c r="A592" s="615"/>
      <c r="B592" s="615"/>
      <c r="C592" s="615"/>
      <c r="D592" s="615"/>
      <c r="E592" s="615"/>
      <c r="F592" s="627"/>
      <c r="G592" s="627"/>
      <c r="H592" s="627"/>
      <c r="I592" s="628"/>
      <c r="J592" s="629"/>
      <c r="K592" s="629"/>
      <c r="L592" s="629"/>
      <c r="M592" s="629"/>
      <c r="N592" s="629"/>
      <c r="O592" s="618"/>
      <c r="P592" s="618"/>
      <c r="Q592" s="618"/>
      <c r="R592" s="618"/>
      <c r="S592" s="618"/>
      <c r="T592" s="618"/>
      <c r="U592" s="618"/>
      <c r="Y592" s="619"/>
    </row>
    <row r="593" spans="1:25" x14ac:dyDescent="0.2">
      <c r="A593" s="615"/>
      <c r="B593" s="615"/>
      <c r="C593" s="615"/>
      <c r="D593" s="615"/>
      <c r="E593" s="615"/>
      <c r="F593" s="627"/>
      <c r="G593" s="627"/>
      <c r="H593" s="627"/>
      <c r="I593" s="628"/>
      <c r="J593" s="629"/>
      <c r="K593" s="629"/>
      <c r="L593" s="629"/>
      <c r="M593" s="629"/>
      <c r="N593" s="629"/>
      <c r="O593" s="618"/>
      <c r="P593" s="618"/>
      <c r="Q593" s="618"/>
      <c r="R593" s="618"/>
      <c r="S593" s="618"/>
      <c r="T593" s="618"/>
      <c r="U593" s="618"/>
      <c r="Y593" s="619"/>
    </row>
    <row r="594" spans="1:25" x14ac:dyDescent="0.2">
      <c r="A594" s="615"/>
      <c r="B594" s="615"/>
      <c r="C594" s="615"/>
      <c r="D594" s="615"/>
      <c r="E594" s="615"/>
      <c r="F594" s="627"/>
      <c r="G594" s="627"/>
      <c r="H594" s="627"/>
      <c r="I594" s="628"/>
      <c r="J594" s="629"/>
      <c r="K594" s="629"/>
      <c r="L594" s="629"/>
      <c r="M594" s="629"/>
      <c r="N594" s="629"/>
      <c r="O594" s="618"/>
      <c r="P594" s="618"/>
      <c r="Q594" s="618"/>
      <c r="R594" s="618"/>
      <c r="S594" s="618"/>
      <c r="T594" s="618"/>
      <c r="U594" s="618"/>
      <c r="Y594" s="619"/>
    </row>
    <row r="595" spans="1:25" x14ac:dyDescent="0.2">
      <c r="A595" s="615"/>
      <c r="B595" s="615"/>
      <c r="C595" s="615"/>
      <c r="D595" s="615"/>
      <c r="E595" s="615"/>
      <c r="F595" s="627"/>
      <c r="G595" s="627"/>
      <c r="H595" s="627"/>
      <c r="I595" s="628"/>
      <c r="J595" s="629"/>
      <c r="K595" s="629"/>
      <c r="L595" s="629"/>
      <c r="M595" s="629"/>
      <c r="N595" s="629"/>
      <c r="O595" s="618"/>
      <c r="P595" s="618"/>
      <c r="Q595" s="618"/>
      <c r="R595" s="618"/>
      <c r="S595" s="618"/>
      <c r="T595" s="618"/>
      <c r="U595" s="618"/>
      <c r="Y595" s="619"/>
    </row>
    <row r="596" spans="1:25" x14ac:dyDescent="0.2">
      <c r="A596" s="615"/>
      <c r="B596" s="615"/>
      <c r="C596" s="615"/>
      <c r="D596" s="615"/>
      <c r="E596" s="615"/>
      <c r="F596" s="627"/>
      <c r="G596" s="627"/>
      <c r="H596" s="627"/>
      <c r="I596" s="628"/>
      <c r="J596" s="629"/>
      <c r="K596" s="629"/>
      <c r="L596" s="629"/>
      <c r="M596" s="629"/>
      <c r="N596" s="629"/>
      <c r="O596" s="618"/>
      <c r="P596" s="618"/>
      <c r="Q596" s="618"/>
      <c r="R596" s="618"/>
      <c r="S596" s="618"/>
      <c r="T596" s="618"/>
      <c r="U596" s="618"/>
      <c r="Y596" s="619"/>
    </row>
    <row r="597" spans="1:25" x14ac:dyDescent="0.2">
      <c r="A597" s="615"/>
      <c r="B597" s="615"/>
      <c r="C597" s="615"/>
      <c r="D597" s="615"/>
      <c r="E597" s="615"/>
      <c r="F597" s="627"/>
      <c r="G597" s="627"/>
      <c r="H597" s="627"/>
      <c r="I597" s="628"/>
      <c r="J597" s="629"/>
      <c r="K597" s="629"/>
      <c r="L597" s="629"/>
      <c r="M597" s="629"/>
      <c r="N597" s="629"/>
      <c r="O597" s="618"/>
      <c r="P597" s="618"/>
      <c r="Q597" s="618"/>
      <c r="R597" s="618"/>
      <c r="S597" s="618"/>
      <c r="T597" s="618"/>
      <c r="U597" s="618"/>
      <c r="Y597" s="619"/>
    </row>
    <row r="598" spans="1:25" x14ac:dyDescent="0.2">
      <c r="A598" s="615"/>
      <c r="B598" s="615"/>
      <c r="C598" s="615"/>
      <c r="D598" s="615"/>
      <c r="E598" s="615"/>
      <c r="F598" s="627"/>
      <c r="G598" s="627"/>
      <c r="H598" s="627"/>
      <c r="I598" s="628"/>
      <c r="J598" s="629"/>
      <c r="K598" s="629"/>
      <c r="L598" s="629"/>
      <c r="M598" s="629"/>
      <c r="N598" s="629"/>
      <c r="O598" s="618"/>
      <c r="P598" s="618"/>
      <c r="Q598" s="618"/>
      <c r="R598" s="618"/>
      <c r="S598" s="618"/>
      <c r="T598" s="618"/>
      <c r="U598" s="618"/>
      <c r="Y598" s="619"/>
    </row>
    <row r="599" spans="1:25" x14ac:dyDescent="0.2">
      <c r="A599" s="615"/>
      <c r="B599" s="615"/>
      <c r="C599" s="615"/>
      <c r="D599" s="615"/>
      <c r="E599" s="615"/>
      <c r="F599" s="627"/>
      <c r="G599" s="627"/>
      <c r="H599" s="627"/>
      <c r="I599" s="628"/>
      <c r="J599" s="629"/>
      <c r="K599" s="629"/>
      <c r="L599" s="629"/>
      <c r="M599" s="629"/>
      <c r="N599" s="629"/>
      <c r="O599" s="618"/>
      <c r="P599" s="618"/>
      <c r="Q599" s="618"/>
      <c r="R599" s="618"/>
      <c r="S599" s="618"/>
      <c r="T599" s="618"/>
      <c r="U599" s="618"/>
      <c r="Y599" s="619"/>
    </row>
    <row r="600" spans="1:25" x14ac:dyDescent="0.2">
      <c r="A600" s="615"/>
      <c r="B600" s="615"/>
      <c r="C600" s="615"/>
      <c r="D600" s="615"/>
      <c r="E600" s="615"/>
      <c r="F600" s="627"/>
      <c r="G600" s="627"/>
      <c r="H600" s="627"/>
      <c r="I600" s="628"/>
      <c r="J600" s="629"/>
      <c r="K600" s="629"/>
      <c r="L600" s="629"/>
      <c r="M600" s="629"/>
      <c r="N600" s="629"/>
      <c r="O600" s="618"/>
      <c r="P600" s="618"/>
      <c r="Q600" s="618"/>
      <c r="R600" s="618"/>
      <c r="S600" s="618"/>
      <c r="T600" s="618"/>
      <c r="U600" s="618"/>
      <c r="Y600" s="619"/>
    </row>
    <row r="601" spans="1:25" x14ac:dyDescent="0.2">
      <c r="A601" s="615"/>
      <c r="B601" s="615"/>
      <c r="C601" s="615"/>
      <c r="D601" s="615"/>
      <c r="E601" s="615"/>
      <c r="F601" s="627"/>
      <c r="G601" s="627"/>
      <c r="H601" s="627"/>
      <c r="I601" s="628"/>
      <c r="J601" s="629"/>
      <c r="K601" s="629"/>
      <c r="L601" s="629"/>
      <c r="M601" s="629"/>
      <c r="N601" s="629"/>
      <c r="O601" s="618"/>
      <c r="P601" s="618"/>
      <c r="Q601" s="618"/>
      <c r="R601" s="618"/>
      <c r="S601" s="618"/>
      <c r="T601" s="618"/>
      <c r="U601" s="618"/>
      <c r="Y601" s="619"/>
    </row>
    <row r="602" spans="1:25" x14ac:dyDescent="0.2">
      <c r="A602" s="615"/>
      <c r="B602" s="615"/>
      <c r="C602" s="615"/>
      <c r="D602" s="615"/>
      <c r="E602" s="615"/>
      <c r="F602" s="627"/>
      <c r="G602" s="627"/>
      <c r="H602" s="627"/>
      <c r="I602" s="628"/>
      <c r="J602" s="629"/>
      <c r="K602" s="629"/>
      <c r="L602" s="629"/>
      <c r="M602" s="629"/>
      <c r="N602" s="629"/>
      <c r="O602" s="618"/>
      <c r="P602" s="618"/>
      <c r="Q602" s="618"/>
      <c r="R602" s="618"/>
      <c r="S602" s="618"/>
      <c r="T602" s="618"/>
      <c r="U602" s="618"/>
      <c r="Y602" s="619"/>
    </row>
    <row r="603" spans="1:25" x14ac:dyDescent="0.2">
      <c r="A603" s="615"/>
      <c r="B603" s="615"/>
      <c r="C603" s="615"/>
      <c r="D603" s="615"/>
      <c r="E603" s="615"/>
      <c r="F603" s="627"/>
      <c r="G603" s="627"/>
      <c r="H603" s="627"/>
      <c r="I603" s="628"/>
      <c r="J603" s="629"/>
      <c r="K603" s="629"/>
      <c r="L603" s="629"/>
      <c r="M603" s="629"/>
      <c r="N603" s="629"/>
      <c r="O603" s="618"/>
      <c r="P603" s="618"/>
      <c r="Q603" s="618"/>
      <c r="R603" s="618"/>
      <c r="S603" s="618"/>
      <c r="T603" s="618"/>
      <c r="U603" s="618"/>
      <c r="Y603" s="619"/>
    </row>
    <row r="604" spans="1:25" x14ac:dyDescent="0.2">
      <c r="A604" s="615"/>
      <c r="B604" s="615"/>
      <c r="C604" s="615"/>
      <c r="D604" s="615"/>
      <c r="E604" s="615"/>
      <c r="F604" s="627"/>
      <c r="G604" s="627"/>
      <c r="H604" s="627"/>
      <c r="I604" s="628"/>
      <c r="J604" s="629"/>
      <c r="K604" s="629"/>
      <c r="L604" s="629"/>
      <c r="M604" s="629"/>
      <c r="N604" s="629"/>
      <c r="O604" s="618"/>
      <c r="P604" s="618"/>
      <c r="Q604" s="618"/>
      <c r="R604" s="618"/>
      <c r="S604" s="618"/>
      <c r="T604" s="618"/>
      <c r="U604" s="618"/>
      <c r="Y604" s="619"/>
    </row>
    <row r="605" spans="1:25" x14ac:dyDescent="0.2">
      <c r="A605" s="615"/>
      <c r="B605" s="615"/>
      <c r="C605" s="615"/>
      <c r="D605" s="615"/>
      <c r="E605" s="615"/>
      <c r="F605" s="627"/>
      <c r="G605" s="627"/>
      <c r="H605" s="627"/>
      <c r="I605" s="628"/>
      <c r="J605" s="629"/>
      <c r="K605" s="629"/>
      <c r="L605" s="629"/>
      <c r="M605" s="629"/>
      <c r="N605" s="629"/>
      <c r="O605" s="618"/>
      <c r="P605" s="618"/>
      <c r="Q605" s="618"/>
      <c r="R605" s="618"/>
      <c r="S605" s="618"/>
      <c r="T605" s="618"/>
      <c r="U605" s="618"/>
      <c r="Y605" s="619"/>
    </row>
    <row r="606" spans="1:25" x14ac:dyDescent="0.2">
      <c r="A606" s="615"/>
      <c r="B606" s="615"/>
      <c r="C606" s="615"/>
      <c r="D606" s="615"/>
      <c r="E606" s="615"/>
      <c r="F606" s="627"/>
      <c r="G606" s="627"/>
      <c r="H606" s="627"/>
      <c r="I606" s="628"/>
      <c r="J606" s="629"/>
      <c r="K606" s="629"/>
      <c r="L606" s="629"/>
      <c r="M606" s="629"/>
      <c r="N606" s="629"/>
      <c r="O606" s="618"/>
      <c r="P606" s="618"/>
      <c r="Q606" s="618"/>
      <c r="R606" s="618"/>
      <c r="S606" s="618"/>
      <c r="T606" s="618"/>
      <c r="U606" s="618"/>
      <c r="Y606" s="619"/>
    </row>
    <row r="607" spans="1:25" x14ac:dyDescent="0.2">
      <c r="A607" s="615"/>
      <c r="B607" s="615"/>
      <c r="C607" s="615"/>
      <c r="D607" s="615"/>
      <c r="E607" s="615"/>
      <c r="F607" s="627"/>
      <c r="G607" s="627"/>
      <c r="H607" s="627"/>
      <c r="I607" s="628"/>
      <c r="J607" s="629"/>
      <c r="K607" s="629"/>
      <c r="L607" s="629"/>
      <c r="M607" s="629"/>
      <c r="N607" s="629"/>
      <c r="O607" s="618"/>
      <c r="P607" s="618"/>
      <c r="Q607" s="618"/>
      <c r="R607" s="618"/>
      <c r="S607" s="618"/>
      <c r="T607" s="618"/>
      <c r="U607" s="618"/>
      <c r="Y607" s="619"/>
    </row>
    <row r="608" spans="1:25" x14ac:dyDescent="0.2">
      <c r="A608" s="615"/>
      <c r="B608" s="615"/>
      <c r="C608" s="615"/>
      <c r="D608" s="615"/>
      <c r="E608" s="615"/>
      <c r="F608" s="627"/>
      <c r="G608" s="627"/>
      <c r="H608" s="627"/>
      <c r="I608" s="628"/>
      <c r="J608" s="629"/>
      <c r="K608" s="629"/>
      <c r="L608" s="629"/>
      <c r="M608" s="629"/>
      <c r="N608" s="629"/>
      <c r="O608" s="618"/>
      <c r="P608" s="618"/>
      <c r="Q608" s="618"/>
      <c r="R608" s="618"/>
      <c r="S608" s="618"/>
      <c r="T608" s="618"/>
      <c r="U608" s="618"/>
      <c r="Y608" s="619"/>
    </row>
    <row r="609" spans="1:25" x14ac:dyDescent="0.2">
      <c r="A609" s="615"/>
      <c r="B609" s="615"/>
      <c r="C609" s="615"/>
      <c r="D609" s="615"/>
      <c r="E609" s="615"/>
      <c r="F609" s="627"/>
      <c r="G609" s="627"/>
      <c r="H609" s="627"/>
      <c r="I609" s="628"/>
      <c r="J609" s="629"/>
      <c r="K609" s="629"/>
      <c r="L609" s="629"/>
      <c r="M609" s="629"/>
      <c r="N609" s="629"/>
      <c r="O609" s="618"/>
      <c r="P609" s="618"/>
      <c r="Q609" s="618"/>
      <c r="R609" s="618"/>
      <c r="S609" s="618"/>
      <c r="T609" s="618"/>
      <c r="U609" s="618"/>
      <c r="Y609" s="619"/>
    </row>
    <row r="610" spans="1:25" x14ac:dyDescent="0.2">
      <c r="A610" s="615"/>
      <c r="B610" s="615"/>
      <c r="C610" s="615"/>
      <c r="D610" s="615"/>
      <c r="E610" s="615"/>
      <c r="F610" s="627"/>
      <c r="G610" s="627"/>
      <c r="H610" s="627"/>
      <c r="I610" s="628"/>
      <c r="J610" s="629"/>
      <c r="K610" s="629"/>
      <c r="L610" s="629"/>
      <c r="M610" s="629"/>
      <c r="N610" s="629"/>
      <c r="O610" s="618"/>
      <c r="P610" s="618"/>
      <c r="Q610" s="618"/>
      <c r="R610" s="618"/>
      <c r="S610" s="618"/>
      <c r="T610" s="618"/>
      <c r="U610" s="618"/>
      <c r="Y610" s="619"/>
    </row>
    <row r="611" spans="1:25" x14ac:dyDescent="0.2">
      <c r="A611" s="615"/>
      <c r="B611" s="615"/>
      <c r="C611" s="615"/>
      <c r="D611" s="615"/>
      <c r="E611" s="615"/>
      <c r="F611" s="627"/>
      <c r="G611" s="627"/>
      <c r="H611" s="627"/>
      <c r="I611" s="628"/>
      <c r="J611" s="629"/>
      <c r="K611" s="629"/>
      <c r="L611" s="629"/>
      <c r="M611" s="629"/>
      <c r="N611" s="629"/>
      <c r="O611" s="618"/>
      <c r="P611" s="618"/>
      <c r="Q611" s="618"/>
      <c r="R611" s="618"/>
      <c r="S611" s="618"/>
      <c r="T611" s="618"/>
      <c r="U611" s="618"/>
      <c r="Y611" s="619"/>
    </row>
    <row r="612" spans="1:25" x14ac:dyDescent="0.2">
      <c r="A612" s="615"/>
      <c r="B612" s="615"/>
      <c r="C612" s="615"/>
      <c r="D612" s="615"/>
      <c r="E612" s="615"/>
      <c r="F612" s="627"/>
      <c r="G612" s="627"/>
      <c r="H612" s="627"/>
      <c r="I612" s="628"/>
      <c r="J612" s="629"/>
      <c r="K612" s="629"/>
      <c r="L612" s="629"/>
      <c r="M612" s="629"/>
      <c r="N612" s="629"/>
      <c r="O612" s="618"/>
      <c r="P612" s="618"/>
      <c r="Q612" s="618"/>
      <c r="R612" s="618"/>
      <c r="S612" s="618"/>
      <c r="T612" s="618"/>
      <c r="U612" s="618"/>
      <c r="Y612" s="619"/>
    </row>
    <row r="613" spans="1:25" x14ac:dyDescent="0.2">
      <c r="A613" s="615"/>
      <c r="B613" s="615"/>
      <c r="C613" s="615"/>
      <c r="D613" s="615"/>
      <c r="E613" s="615"/>
      <c r="F613" s="627"/>
      <c r="G613" s="627"/>
      <c r="H613" s="627"/>
      <c r="I613" s="628"/>
      <c r="J613" s="629"/>
      <c r="K613" s="629"/>
      <c r="L613" s="629"/>
      <c r="M613" s="629"/>
      <c r="N613" s="629"/>
      <c r="O613" s="618"/>
      <c r="P613" s="618"/>
      <c r="Q613" s="618"/>
      <c r="R613" s="618"/>
      <c r="S613" s="618"/>
      <c r="T613" s="618"/>
      <c r="U613" s="618"/>
      <c r="Y613" s="619"/>
    </row>
    <row r="614" spans="1:25" x14ac:dyDescent="0.2">
      <c r="A614" s="615"/>
      <c r="B614" s="615"/>
      <c r="C614" s="615"/>
      <c r="D614" s="615"/>
      <c r="E614" s="615"/>
      <c r="F614" s="627"/>
      <c r="G614" s="627"/>
      <c r="H614" s="627"/>
      <c r="I614" s="628"/>
      <c r="J614" s="629"/>
      <c r="K614" s="629"/>
      <c r="L614" s="629"/>
      <c r="M614" s="629"/>
      <c r="N614" s="629"/>
      <c r="O614" s="618"/>
      <c r="P614" s="618"/>
      <c r="Q614" s="618"/>
      <c r="R614" s="618"/>
      <c r="S614" s="618"/>
      <c r="T614" s="618"/>
      <c r="U614" s="618"/>
      <c r="Y614" s="619"/>
    </row>
    <row r="615" spans="1:25" x14ac:dyDescent="0.2">
      <c r="A615" s="615"/>
      <c r="B615" s="615"/>
      <c r="C615" s="615"/>
      <c r="D615" s="615"/>
      <c r="E615" s="615"/>
      <c r="F615" s="627"/>
      <c r="G615" s="627"/>
      <c r="H615" s="627"/>
      <c r="I615" s="628"/>
      <c r="J615" s="629"/>
      <c r="K615" s="629"/>
      <c r="L615" s="629"/>
      <c r="M615" s="629"/>
      <c r="N615" s="629"/>
      <c r="O615" s="618"/>
      <c r="P615" s="618"/>
      <c r="Q615" s="618"/>
      <c r="R615" s="618"/>
      <c r="S615" s="618"/>
      <c r="T615" s="618"/>
      <c r="U615" s="618"/>
      <c r="Y615" s="619"/>
    </row>
    <row r="616" spans="1:25" x14ac:dyDescent="0.2">
      <c r="A616" s="615"/>
      <c r="B616" s="615"/>
      <c r="C616" s="615"/>
      <c r="D616" s="615"/>
      <c r="E616" s="615"/>
      <c r="F616" s="627"/>
      <c r="G616" s="627"/>
      <c r="H616" s="627"/>
      <c r="I616" s="628"/>
      <c r="J616" s="629"/>
      <c r="K616" s="629"/>
      <c r="L616" s="629"/>
      <c r="M616" s="629"/>
      <c r="N616" s="629"/>
      <c r="O616" s="618"/>
      <c r="P616" s="618"/>
      <c r="Q616" s="618"/>
      <c r="R616" s="618"/>
      <c r="S616" s="618"/>
      <c r="T616" s="618"/>
      <c r="U616" s="618"/>
      <c r="Y616" s="619"/>
    </row>
    <row r="617" spans="1:25" x14ac:dyDescent="0.2">
      <c r="A617" s="615"/>
      <c r="B617" s="615"/>
      <c r="C617" s="615"/>
      <c r="D617" s="615"/>
      <c r="E617" s="615"/>
      <c r="F617" s="627"/>
      <c r="G617" s="627"/>
      <c r="H617" s="627"/>
      <c r="I617" s="628"/>
      <c r="J617" s="629"/>
      <c r="K617" s="629"/>
      <c r="L617" s="629"/>
      <c r="M617" s="629"/>
      <c r="N617" s="629"/>
      <c r="O617" s="618"/>
      <c r="P617" s="618"/>
      <c r="Q617" s="618"/>
      <c r="R617" s="618"/>
      <c r="S617" s="618"/>
      <c r="T617" s="618"/>
      <c r="U617" s="618"/>
      <c r="Y617" s="619"/>
    </row>
    <row r="618" spans="1:25" x14ac:dyDescent="0.2">
      <c r="A618" s="615"/>
      <c r="B618" s="615"/>
      <c r="C618" s="615"/>
      <c r="D618" s="615"/>
      <c r="E618" s="615"/>
      <c r="F618" s="627"/>
      <c r="G618" s="627"/>
      <c r="H618" s="627"/>
      <c r="I618" s="628"/>
      <c r="J618" s="629"/>
      <c r="K618" s="629"/>
      <c r="L618" s="629"/>
      <c r="M618" s="629"/>
      <c r="N618" s="629"/>
      <c r="O618" s="618"/>
      <c r="P618" s="618"/>
      <c r="Q618" s="618"/>
      <c r="R618" s="618"/>
      <c r="S618" s="618"/>
      <c r="T618" s="618"/>
      <c r="U618" s="618"/>
      <c r="Y618" s="619"/>
    </row>
    <row r="619" spans="1:25" x14ac:dyDescent="0.2">
      <c r="A619" s="615"/>
      <c r="B619" s="615"/>
      <c r="C619" s="615"/>
      <c r="D619" s="615"/>
      <c r="E619" s="615"/>
      <c r="F619" s="627"/>
      <c r="G619" s="627"/>
      <c r="H619" s="627"/>
      <c r="I619" s="628"/>
      <c r="J619" s="629"/>
      <c r="K619" s="629"/>
      <c r="L619" s="629"/>
      <c r="M619" s="629"/>
      <c r="N619" s="629"/>
      <c r="O619" s="618"/>
      <c r="P619" s="618"/>
      <c r="Q619" s="618"/>
      <c r="R619" s="618"/>
      <c r="S619" s="618"/>
      <c r="T619" s="618"/>
      <c r="U619" s="618"/>
      <c r="Y619" s="619"/>
    </row>
    <row r="620" spans="1:25" x14ac:dyDescent="0.2">
      <c r="A620" s="615"/>
      <c r="B620" s="615"/>
      <c r="C620" s="615"/>
      <c r="D620" s="615"/>
      <c r="E620" s="615"/>
      <c r="F620" s="627"/>
      <c r="G620" s="627"/>
      <c r="H620" s="627"/>
      <c r="I620" s="628"/>
      <c r="J620" s="629"/>
      <c r="K620" s="629"/>
      <c r="L620" s="629"/>
      <c r="M620" s="629"/>
      <c r="N620" s="629"/>
      <c r="O620" s="618"/>
      <c r="P620" s="618"/>
      <c r="Q620" s="618"/>
      <c r="R620" s="618"/>
      <c r="S620" s="618"/>
      <c r="T620" s="618"/>
      <c r="U620" s="618"/>
      <c r="Y620" s="619"/>
    </row>
    <row r="621" spans="1:25" x14ac:dyDescent="0.2">
      <c r="A621" s="615"/>
      <c r="B621" s="615"/>
      <c r="C621" s="615"/>
      <c r="D621" s="615"/>
      <c r="E621" s="615"/>
      <c r="F621" s="627"/>
      <c r="G621" s="627"/>
      <c r="H621" s="627"/>
      <c r="I621" s="628"/>
      <c r="J621" s="629"/>
      <c r="K621" s="629"/>
      <c r="L621" s="629"/>
      <c r="M621" s="629"/>
      <c r="N621" s="629"/>
      <c r="O621" s="618"/>
      <c r="P621" s="618"/>
      <c r="Q621" s="618"/>
      <c r="R621" s="618"/>
      <c r="S621" s="618"/>
      <c r="T621" s="618"/>
      <c r="U621" s="618"/>
      <c r="Y621" s="619"/>
    </row>
    <row r="622" spans="1:25" x14ac:dyDescent="0.2">
      <c r="A622" s="615"/>
      <c r="B622" s="615"/>
      <c r="C622" s="615"/>
      <c r="D622" s="615"/>
      <c r="E622" s="615"/>
      <c r="F622" s="627"/>
      <c r="G622" s="627"/>
      <c r="H622" s="627"/>
      <c r="I622" s="628"/>
      <c r="J622" s="629"/>
      <c r="K622" s="629"/>
      <c r="L622" s="629"/>
      <c r="M622" s="629"/>
      <c r="N622" s="629"/>
      <c r="O622" s="618"/>
      <c r="P622" s="618"/>
      <c r="Q622" s="618"/>
      <c r="R622" s="618"/>
      <c r="S622" s="618"/>
      <c r="T622" s="618"/>
      <c r="U622" s="618"/>
      <c r="Y622" s="619"/>
    </row>
    <row r="623" spans="1:25" x14ac:dyDescent="0.2">
      <c r="A623" s="615"/>
      <c r="B623" s="615"/>
      <c r="C623" s="615"/>
      <c r="D623" s="615"/>
      <c r="E623" s="615"/>
      <c r="F623" s="627"/>
      <c r="G623" s="627"/>
      <c r="H623" s="627"/>
      <c r="I623" s="628"/>
      <c r="J623" s="629"/>
      <c r="K623" s="629"/>
      <c r="L623" s="629"/>
      <c r="M623" s="629"/>
      <c r="N623" s="629"/>
      <c r="O623" s="618"/>
      <c r="P623" s="618"/>
      <c r="Q623" s="618"/>
      <c r="R623" s="618"/>
      <c r="S623" s="618"/>
      <c r="T623" s="618"/>
      <c r="U623" s="618"/>
      <c r="Y623" s="619"/>
    </row>
    <row r="624" spans="1:25" x14ac:dyDescent="0.2">
      <c r="A624" s="615"/>
      <c r="B624" s="615"/>
      <c r="C624" s="615"/>
      <c r="D624" s="615"/>
      <c r="E624" s="615"/>
      <c r="F624" s="627"/>
      <c r="G624" s="627"/>
      <c r="H624" s="627"/>
      <c r="I624" s="628"/>
      <c r="J624" s="629"/>
      <c r="K624" s="629"/>
      <c r="L624" s="629"/>
      <c r="M624" s="629"/>
      <c r="N624" s="629"/>
      <c r="O624" s="618"/>
      <c r="P624" s="618"/>
      <c r="Q624" s="618"/>
      <c r="R624" s="618"/>
      <c r="S624" s="618"/>
      <c r="T624" s="618"/>
      <c r="U624" s="618"/>
      <c r="Y624" s="619"/>
    </row>
    <row r="625" spans="1:25" x14ac:dyDescent="0.2">
      <c r="A625" s="615"/>
      <c r="B625" s="615"/>
      <c r="C625" s="615"/>
      <c r="D625" s="615"/>
      <c r="E625" s="615"/>
      <c r="F625" s="627"/>
      <c r="G625" s="627"/>
      <c r="H625" s="627"/>
      <c r="I625" s="628"/>
      <c r="J625" s="629"/>
      <c r="K625" s="629"/>
      <c r="L625" s="629"/>
      <c r="M625" s="629"/>
      <c r="N625" s="629"/>
      <c r="O625" s="618"/>
      <c r="P625" s="618"/>
      <c r="Q625" s="618"/>
      <c r="R625" s="618"/>
      <c r="S625" s="618"/>
      <c r="T625" s="618"/>
      <c r="U625" s="618"/>
      <c r="Y625" s="619"/>
    </row>
    <row r="626" spans="1:25" x14ac:dyDescent="0.2">
      <c r="A626" s="615"/>
      <c r="B626" s="615"/>
      <c r="C626" s="615"/>
      <c r="D626" s="615"/>
      <c r="E626" s="615"/>
      <c r="F626" s="627"/>
      <c r="G626" s="627"/>
      <c r="H626" s="627"/>
      <c r="I626" s="628"/>
      <c r="J626" s="629"/>
      <c r="K626" s="629"/>
      <c r="L626" s="629"/>
      <c r="M626" s="629"/>
      <c r="N626" s="629"/>
      <c r="O626" s="618"/>
      <c r="P626" s="618"/>
      <c r="Q626" s="618"/>
      <c r="R626" s="618"/>
      <c r="S626" s="618"/>
      <c r="T626" s="618"/>
      <c r="U626" s="618"/>
      <c r="Y626" s="619"/>
    </row>
    <row r="627" spans="1:25" x14ac:dyDescent="0.2">
      <c r="A627" s="615"/>
      <c r="B627" s="615"/>
      <c r="C627" s="615"/>
      <c r="D627" s="615"/>
      <c r="E627" s="615"/>
      <c r="F627" s="627"/>
      <c r="G627" s="627"/>
      <c r="H627" s="627"/>
      <c r="I627" s="628"/>
      <c r="J627" s="629"/>
      <c r="K627" s="629"/>
      <c r="L627" s="629"/>
      <c r="M627" s="629"/>
      <c r="N627" s="629"/>
      <c r="O627" s="618"/>
      <c r="P627" s="618"/>
      <c r="Q627" s="618"/>
      <c r="R627" s="618"/>
      <c r="S627" s="618"/>
      <c r="T627" s="618"/>
      <c r="U627" s="618"/>
      <c r="Y627" s="619"/>
    </row>
    <row r="628" spans="1:25" x14ac:dyDescent="0.2">
      <c r="A628" s="615"/>
      <c r="B628" s="615"/>
      <c r="C628" s="615"/>
      <c r="D628" s="615"/>
      <c r="E628" s="615"/>
      <c r="F628" s="627"/>
      <c r="G628" s="627"/>
      <c r="H628" s="627"/>
      <c r="I628" s="628"/>
      <c r="J628" s="629"/>
      <c r="K628" s="629"/>
      <c r="L628" s="629"/>
      <c r="M628" s="629"/>
      <c r="N628" s="629"/>
      <c r="O628" s="618"/>
      <c r="P628" s="618"/>
      <c r="Q628" s="618"/>
      <c r="R628" s="618"/>
      <c r="S628" s="618"/>
      <c r="T628" s="618"/>
      <c r="U628" s="618"/>
      <c r="Y628" s="619"/>
    </row>
    <row r="629" spans="1:25" x14ac:dyDescent="0.2">
      <c r="A629" s="615"/>
      <c r="B629" s="615"/>
      <c r="C629" s="615"/>
      <c r="D629" s="615"/>
      <c r="E629" s="615"/>
      <c r="F629" s="627"/>
      <c r="G629" s="627"/>
      <c r="H629" s="627"/>
      <c r="I629" s="628"/>
      <c r="J629" s="629"/>
      <c r="K629" s="629"/>
      <c r="L629" s="629"/>
      <c r="M629" s="629"/>
      <c r="N629" s="629"/>
      <c r="O629" s="618"/>
      <c r="P629" s="618"/>
      <c r="Q629" s="618"/>
      <c r="R629" s="618"/>
      <c r="S629" s="618"/>
      <c r="T629" s="618"/>
      <c r="U629" s="618"/>
      <c r="Y629" s="619"/>
    </row>
    <row r="630" spans="1:25" x14ac:dyDescent="0.2">
      <c r="A630" s="615"/>
      <c r="B630" s="615"/>
      <c r="C630" s="615"/>
      <c r="D630" s="615"/>
      <c r="E630" s="615"/>
      <c r="F630" s="627"/>
      <c r="G630" s="627"/>
      <c r="H630" s="627"/>
      <c r="I630" s="628"/>
      <c r="J630" s="629"/>
      <c r="K630" s="629"/>
      <c r="L630" s="629"/>
      <c r="M630" s="629"/>
      <c r="N630" s="629"/>
      <c r="O630" s="618"/>
      <c r="P630" s="618"/>
      <c r="Q630" s="618"/>
      <c r="R630" s="618"/>
      <c r="S630" s="618"/>
      <c r="T630" s="618"/>
      <c r="U630" s="618"/>
      <c r="Y630" s="619"/>
    </row>
    <row r="631" spans="1:25" x14ac:dyDescent="0.2">
      <c r="A631" s="615"/>
      <c r="B631" s="615"/>
      <c r="C631" s="615"/>
      <c r="D631" s="615"/>
      <c r="E631" s="615"/>
      <c r="F631" s="627"/>
      <c r="G631" s="627"/>
      <c r="H631" s="627"/>
      <c r="I631" s="628"/>
      <c r="J631" s="629"/>
      <c r="K631" s="629"/>
      <c r="L631" s="629"/>
      <c r="M631" s="629"/>
      <c r="N631" s="629"/>
      <c r="O631" s="618"/>
      <c r="P631" s="618"/>
      <c r="Q631" s="618"/>
      <c r="R631" s="618"/>
      <c r="S631" s="618"/>
      <c r="T631" s="618"/>
      <c r="U631" s="618"/>
      <c r="Y631" s="619"/>
    </row>
    <row r="632" spans="1:25" x14ac:dyDescent="0.2">
      <c r="A632" s="615"/>
      <c r="B632" s="615"/>
      <c r="C632" s="615"/>
      <c r="D632" s="615"/>
      <c r="E632" s="615"/>
      <c r="F632" s="627"/>
      <c r="G632" s="627"/>
      <c r="H632" s="627"/>
      <c r="I632" s="628"/>
      <c r="J632" s="629"/>
      <c r="K632" s="629"/>
      <c r="L632" s="629"/>
      <c r="M632" s="629"/>
      <c r="N632" s="629"/>
      <c r="O632" s="618"/>
      <c r="P632" s="618"/>
      <c r="Q632" s="618"/>
      <c r="R632" s="618"/>
      <c r="S632" s="618"/>
      <c r="T632" s="618"/>
      <c r="U632" s="618"/>
      <c r="Y632" s="619"/>
    </row>
    <row r="633" spans="1:25" x14ac:dyDescent="0.2">
      <c r="A633" s="615"/>
      <c r="B633" s="615"/>
      <c r="C633" s="615"/>
      <c r="D633" s="615"/>
      <c r="E633" s="615"/>
      <c r="F633" s="627"/>
      <c r="G633" s="627"/>
      <c r="H633" s="627"/>
      <c r="I633" s="628"/>
      <c r="J633" s="629"/>
      <c r="K633" s="629"/>
      <c r="L633" s="629"/>
      <c r="M633" s="629"/>
      <c r="N633" s="629"/>
      <c r="O633" s="618"/>
      <c r="P633" s="618"/>
      <c r="Q633" s="618"/>
      <c r="R633" s="618"/>
      <c r="S633" s="618"/>
      <c r="T633" s="618"/>
      <c r="U633" s="618"/>
      <c r="Y633" s="619"/>
    </row>
    <row r="634" spans="1:25" x14ac:dyDescent="0.2">
      <c r="A634" s="615"/>
      <c r="B634" s="615"/>
      <c r="C634" s="615"/>
      <c r="D634" s="615"/>
      <c r="E634" s="615"/>
      <c r="F634" s="627"/>
      <c r="G634" s="627"/>
      <c r="H634" s="627"/>
      <c r="I634" s="628"/>
      <c r="J634" s="629"/>
      <c r="K634" s="629"/>
      <c r="L634" s="629"/>
      <c r="M634" s="629"/>
      <c r="N634" s="629"/>
      <c r="O634" s="618"/>
      <c r="P634" s="618"/>
      <c r="Q634" s="618"/>
      <c r="R634" s="618"/>
      <c r="S634" s="618"/>
      <c r="T634" s="618"/>
      <c r="U634" s="618"/>
      <c r="Y634" s="619"/>
    </row>
    <row r="635" spans="1:25" x14ac:dyDescent="0.2">
      <c r="A635" s="615"/>
      <c r="B635" s="615"/>
      <c r="C635" s="615"/>
      <c r="D635" s="615"/>
      <c r="E635" s="615"/>
      <c r="F635" s="627"/>
      <c r="G635" s="627"/>
      <c r="H635" s="627"/>
      <c r="I635" s="628"/>
      <c r="J635" s="629"/>
      <c r="K635" s="629"/>
      <c r="L635" s="629"/>
      <c r="M635" s="629"/>
      <c r="N635" s="629"/>
      <c r="O635" s="618"/>
      <c r="P635" s="618"/>
      <c r="Q635" s="618"/>
      <c r="R635" s="618"/>
      <c r="S635" s="618"/>
      <c r="T635" s="618"/>
      <c r="U635" s="618"/>
      <c r="Y635" s="619"/>
    </row>
    <row r="636" spans="1:25" x14ac:dyDescent="0.2">
      <c r="A636" s="615"/>
      <c r="B636" s="615"/>
      <c r="C636" s="615"/>
      <c r="D636" s="615"/>
      <c r="E636" s="615"/>
      <c r="F636" s="627"/>
      <c r="G636" s="627"/>
      <c r="H636" s="627"/>
      <c r="I636" s="628"/>
      <c r="J636" s="629"/>
      <c r="K636" s="629"/>
      <c r="L636" s="629"/>
      <c r="M636" s="629"/>
      <c r="N636" s="629"/>
      <c r="O636" s="618"/>
      <c r="P636" s="618"/>
      <c r="Q636" s="618"/>
      <c r="R636" s="618"/>
      <c r="S636" s="618"/>
      <c r="T636" s="618"/>
      <c r="U636" s="618"/>
      <c r="Y636" s="619"/>
    </row>
    <row r="637" spans="1:25" x14ac:dyDescent="0.2">
      <c r="A637" s="615"/>
      <c r="B637" s="615"/>
      <c r="C637" s="615"/>
      <c r="D637" s="615"/>
      <c r="E637" s="615"/>
      <c r="F637" s="627"/>
      <c r="G637" s="627"/>
      <c r="H637" s="627"/>
      <c r="I637" s="628"/>
      <c r="J637" s="629"/>
      <c r="K637" s="629"/>
      <c r="L637" s="629"/>
      <c r="M637" s="629"/>
      <c r="N637" s="629"/>
      <c r="O637" s="618"/>
      <c r="P637" s="618"/>
      <c r="Q637" s="618"/>
      <c r="R637" s="618"/>
      <c r="S637" s="618"/>
      <c r="T637" s="618"/>
      <c r="U637" s="618"/>
      <c r="Y637" s="619"/>
    </row>
    <row r="638" spans="1:25" x14ac:dyDescent="0.2">
      <c r="A638" s="615"/>
      <c r="B638" s="615"/>
      <c r="C638" s="615"/>
      <c r="D638" s="615"/>
      <c r="E638" s="615"/>
      <c r="F638" s="627"/>
      <c r="G638" s="627"/>
      <c r="H638" s="627"/>
      <c r="I638" s="628"/>
      <c r="J638" s="629"/>
      <c r="K638" s="629"/>
      <c r="L638" s="629"/>
      <c r="M638" s="629"/>
      <c r="N638" s="629"/>
      <c r="O638" s="618"/>
      <c r="P638" s="618"/>
      <c r="Q638" s="618"/>
      <c r="R638" s="618"/>
      <c r="S638" s="618"/>
      <c r="T638" s="618"/>
      <c r="U638" s="618"/>
      <c r="Y638" s="619"/>
    </row>
    <row r="639" spans="1:25" x14ac:dyDescent="0.2">
      <c r="A639" s="615"/>
      <c r="B639" s="615"/>
      <c r="C639" s="615"/>
      <c r="D639" s="615"/>
      <c r="E639" s="615"/>
      <c r="F639" s="627"/>
      <c r="G639" s="627"/>
      <c r="H639" s="627"/>
      <c r="I639" s="628"/>
      <c r="J639" s="629"/>
      <c r="K639" s="629"/>
      <c r="L639" s="629"/>
      <c r="M639" s="629"/>
      <c r="N639" s="629"/>
      <c r="O639" s="618"/>
      <c r="P639" s="618"/>
      <c r="Q639" s="618"/>
      <c r="R639" s="618"/>
      <c r="S639" s="618"/>
      <c r="T639" s="618"/>
      <c r="U639" s="618"/>
      <c r="Y639" s="619"/>
    </row>
    <row r="640" spans="1:25" x14ac:dyDescent="0.2">
      <c r="A640" s="615"/>
      <c r="B640" s="615"/>
      <c r="C640" s="615"/>
      <c r="D640" s="615"/>
      <c r="E640" s="615"/>
      <c r="F640" s="627"/>
      <c r="G640" s="627"/>
      <c r="H640" s="627"/>
      <c r="I640" s="628"/>
      <c r="J640" s="629"/>
      <c r="K640" s="629"/>
      <c r="L640" s="629"/>
      <c r="M640" s="629"/>
      <c r="N640" s="629"/>
      <c r="O640" s="618"/>
      <c r="P640" s="618"/>
      <c r="Q640" s="618"/>
      <c r="R640" s="618"/>
      <c r="S640" s="618"/>
      <c r="T640" s="618"/>
      <c r="U640" s="618"/>
      <c r="Y640" s="619"/>
    </row>
    <row r="641" spans="1:25" x14ac:dyDescent="0.2">
      <c r="A641" s="615"/>
      <c r="B641" s="615"/>
      <c r="C641" s="615"/>
      <c r="D641" s="615"/>
      <c r="E641" s="615"/>
      <c r="F641" s="627"/>
      <c r="G641" s="627"/>
      <c r="H641" s="627"/>
      <c r="I641" s="628"/>
      <c r="J641" s="629"/>
      <c r="K641" s="629"/>
      <c r="L641" s="629"/>
      <c r="M641" s="629"/>
      <c r="N641" s="629"/>
      <c r="O641" s="618"/>
      <c r="P641" s="618"/>
      <c r="Q641" s="618"/>
      <c r="R641" s="618"/>
      <c r="S641" s="618"/>
      <c r="T641" s="618"/>
      <c r="U641" s="618"/>
      <c r="Y641" s="619"/>
    </row>
    <row r="642" spans="1:25" x14ac:dyDescent="0.2">
      <c r="A642" s="615"/>
      <c r="B642" s="615"/>
      <c r="C642" s="615"/>
      <c r="D642" s="615"/>
      <c r="E642" s="615"/>
      <c r="F642" s="627"/>
      <c r="G642" s="627"/>
      <c r="H642" s="627"/>
      <c r="I642" s="628"/>
      <c r="J642" s="629"/>
      <c r="K642" s="629"/>
      <c r="L642" s="629"/>
      <c r="M642" s="629"/>
      <c r="N642" s="629"/>
      <c r="O642" s="618"/>
      <c r="P642" s="618"/>
      <c r="Q642" s="618"/>
      <c r="R642" s="618"/>
      <c r="S642" s="618"/>
      <c r="T642" s="618"/>
      <c r="U642" s="618"/>
      <c r="Y642" s="619"/>
    </row>
    <row r="643" spans="1:25" x14ac:dyDescent="0.2">
      <c r="A643" s="615"/>
      <c r="B643" s="615"/>
      <c r="C643" s="615"/>
      <c r="D643" s="615"/>
      <c r="E643" s="615"/>
      <c r="F643" s="627"/>
      <c r="G643" s="627"/>
      <c r="H643" s="627"/>
      <c r="I643" s="628"/>
      <c r="J643" s="629"/>
      <c r="K643" s="629"/>
      <c r="L643" s="629"/>
      <c r="M643" s="629"/>
      <c r="N643" s="629"/>
      <c r="O643" s="618"/>
      <c r="P643" s="618"/>
      <c r="Q643" s="618"/>
      <c r="R643" s="618"/>
      <c r="S643" s="618"/>
      <c r="T643" s="618"/>
      <c r="U643" s="618"/>
      <c r="Y643" s="619"/>
    </row>
    <row r="644" spans="1:25" x14ac:dyDescent="0.2">
      <c r="A644" s="615"/>
      <c r="B644" s="615"/>
      <c r="C644" s="615"/>
      <c r="D644" s="615"/>
      <c r="E644" s="615"/>
      <c r="F644" s="627"/>
      <c r="G644" s="627"/>
      <c r="H644" s="627"/>
      <c r="I644" s="628"/>
      <c r="J644" s="629"/>
      <c r="K644" s="629"/>
      <c r="L644" s="629"/>
      <c r="M644" s="629"/>
      <c r="N644" s="629"/>
      <c r="O644" s="618"/>
      <c r="P644" s="618"/>
      <c r="Q644" s="618"/>
      <c r="R644" s="618"/>
      <c r="S644" s="618"/>
      <c r="T644" s="618"/>
      <c r="U644" s="618"/>
      <c r="Y644" s="619"/>
    </row>
    <row r="645" spans="1:25" x14ac:dyDescent="0.2">
      <c r="A645" s="615"/>
      <c r="B645" s="615"/>
      <c r="C645" s="615"/>
      <c r="D645" s="615"/>
      <c r="E645" s="615"/>
      <c r="F645" s="627"/>
      <c r="G645" s="627"/>
      <c r="H645" s="627"/>
      <c r="I645" s="628"/>
      <c r="J645" s="629"/>
      <c r="K645" s="629"/>
      <c r="L645" s="629"/>
      <c r="M645" s="629"/>
      <c r="N645" s="629"/>
      <c r="O645" s="618"/>
      <c r="P645" s="618"/>
      <c r="Q645" s="618"/>
      <c r="R645" s="618"/>
      <c r="S645" s="618"/>
      <c r="T645" s="618"/>
      <c r="U645" s="618"/>
      <c r="Y645" s="619"/>
    </row>
    <row r="646" spans="1:25" x14ac:dyDescent="0.2">
      <c r="A646" s="615"/>
      <c r="B646" s="615"/>
      <c r="C646" s="615"/>
      <c r="D646" s="615"/>
      <c r="E646" s="615"/>
      <c r="F646" s="627"/>
      <c r="G646" s="627"/>
      <c r="H646" s="627"/>
      <c r="I646" s="628"/>
      <c r="J646" s="629"/>
      <c r="K646" s="629"/>
      <c r="L646" s="629"/>
      <c r="M646" s="629"/>
      <c r="N646" s="629"/>
      <c r="O646" s="618"/>
      <c r="P646" s="618"/>
      <c r="Q646" s="618"/>
      <c r="R646" s="618"/>
      <c r="S646" s="618"/>
      <c r="T646" s="618"/>
      <c r="U646" s="618"/>
      <c r="Y646" s="619"/>
    </row>
    <row r="647" spans="1:25" x14ac:dyDescent="0.2">
      <c r="A647" s="615"/>
      <c r="B647" s="615"/>
      <c r="C647" s="615"/>
      <c r="D647" s="615"/>
      <c r="E647" s="615"/>
      <c r="F647" s="627"/>
      <c r="G647" s="627"/>
      <c r="H647" s="627"/>
      <c r="I647" s="628"/>
      <c r="J647" s="629"/>
      <c r="K647" s="629"/>
      <c r="L647" s="629"/>
      <c r="M647" s="629"/>
      <c r="N647" s="629"/>
      <c r="O647" s="618"/>
      <c r="P647" s="618"/>
      <c r="Q647" s="618"/>
      <c r="R647" s="618"/>
      <c r="S647" s="618"/>
      <c r="T647" s="618"/>
      <c r="U647" s="618"/>
      <c r="Y647" s="619"/>
    </row>
    <row r="648" spans="1:25" x14ac:dyDescent="0.2">
      <c r="A648" s="615"/>
      <c r="B648" s="615"/>
      <c r="C648" s="615"/>
      <c r="D648" s="615"/>
      <c r="E648" s="615"/>
      <c r="F648" s="627"/>
      <c r="G648" s="627"/>
      <c r="H648" s="627"/>
      <c r="I648" s="628"/>
      <c r="J648" s="629"/>
      <c r="K648" s="629"/>
      <c r="L648" s="629"/>
      <c r="M648" s="629"/>
      <c r="N648" s="629"/>
      <c r="O648" s="618"/>
      <c r="P648" s="618"/>
      <c r="Q648" s="618"/>
      <c r="R648" s="618"/>
      <c r="S648" s="618"/>
      <c r="T648" s="618"/>
      <c r="U648" s="618"/>
      <c r="Y648" s="619"/>
    </row>
    <row r="649" spans="1:25" x14ac:dyDescent="0.2">
      <c r="A649" s="615"/>
      <c r="B649" s="615"/>
      <c r="C649" s="615"/>
      <c r="D649" s="615"/>
      <c r="E649" s="615"/>
      <c r="F649" s="627"/>
      <c r="G649" s="627"/>
      <c r="H649" s="627"/>
      <c r="I649" s="628"/>
      <c r="J649" s="629"/>
      <c r="K649" s="629"/>
      <c r="L649" s="629"/>
      <c r="M649" s="629"/>
      <c r="N649" s="629"/>
      <c r="O649" s="618"/>
      <c r="P649" s="618"/>
      <c r="Q649" s="618"/>
      <c r="R649" s="618"/>
      <c r="S649" s="618"/>
      <c r="T649" s="618"/>
      <c r="U649" s="618"/>
      <c r="Y649" s="619"/>
    </row>
    <row r="650" spans="1:25" x14ac:dyDescent="0.2">
      <c r="A650" s="615"/>
      <c r="B650" s="615"/>
      <c r="C650" s="615"/>
      <c r="D650" s="615"/>
      <c r="E650" s="615"/>
      <c r="F650" s="627"/>
      <c r="G650" s="627"/>
      <c r="H650" s="627"/>
      <c r="I650" s="628"/>
      <c r="J650" s="629"/>
      <c r="K650" s="629"/>
      <c r="L650" s="629"/>
      <c r="M650" s="629"/>
      <c r="N650" s="629"/>
      <c r="O650" s="618"/>
      <c r="P650" s="618"/>
      <c r="Q650" s="618"/>
      <c r="R650" s="618"/>
      <c r="S650" s="618"/>
      <c r="T650" s="618"/>
      <c r="U650" s="618"/>
      <c r="Y650" s="619"/>
    </row>
    <row r="651" spans="1:25" x14ac:dyDescent="0.2">
      <c r="A651" s="615"/>
      <c r="B651" s="615"/>
      <c r="C651" s="615"/>
      <c r="D651" s="615"/>
      <c r="E651" s="615"/>
      <c r="F651" s="627"/>
      <c r="G651" s="627"/>
      <c r="H651" s="627"/>
      <c r="I651" s="628"/>
      <c r="J651" s="629"/>
      <c r="K651" s="629"/>
      <c r="L651" s="629"/>
      <c r="M651" s="629"/>
      <c r="N651" s="629"/>
      <c r="O651" s="618"/>
      <c r="P651" s="618"/>
      <c r="Q651" s="618"/>
      <c r="R651" s="618"/>
      <c r="S651" s="618"/>
      <c r="T651" s="618"/>
      <c r="U651" s="618"/>
      <c r="Y651" s="619"/>
    </row>
    <row r="652" spans="1:25" x14ac:dyDescent="0.2">
      <c r="A652" s="615"/>
      <c r="B652" s="615"/>
      <c r="C652" s="615"/>
      <c r="D652" s="615"/>
      <c r="E652" s="615"/>
      <c r="F652" s="627"/>
      <c r="G652" s="627"/>
      <c r="H652" s="627"/>
      <c r="I652" s="628"/>
      <c r="J652" s="629"/>
      <c r="K652" s="629"/>
      <c r="L652" s="629"/>
      <c r="M652" s="629"/>
      <c r="N652" s="629"/>
      <c r="O652" s="618"/>
      <c r="P652" s="618"/>
      <c r="Q652" s="618"/>
      <c r="R652" s="618"/>
      <c r="S652" s="618"/>
      <c r="T652" s="618"/>
      <c r="U652" s="618"/>
      <c r="Y652" s="619"/>
    </row>
    <row r="653" spans="1:25" x14ac:dyDescent="0.2">
      <c r="A653" s="615"/>
      <c r="B653" s="615"/>
      <c r="C653" s="615"/>
      <c r="D653" s="615"/>
      <c r="E653" s="615"/>
      <c r="F653" s="627"/>
      <c r="G653" s="627"/>
      <c r="H653" s="627"/>
      <c r="I653" s="628"/>
      <c r="J653" s="629"/>
      <c r="K653" s="629"/>
      <c r="L653" s="629"/>
      <c r="M653" s="629"/>
      <c r="N653" s="629"/>
      <c r="O653" s="618"/>
      <c r="P653" s="618"/>
      <c r="Q653" s="618"/>
      <c r="R653" s="618"/>
      <c r="S653" s="618"/>
      <c r="T653" s="618"/>
      <c r="U653" s="618"/>
      <c r="Y653" s="619"/>
    </row>
    <row r="654" spans="1:25" x14ac:dyDescent="0.2">
      <c r="A654" s="615"/>
      <c r="B654" s="615"/>
      <c r="C654" s="615"/>
      <c r="D654" s="615"/>
      <c r="E654" s="615"/>
      <c r="F654" s="627"/>
      <c r="G654" s="627"/>
      <c r="H654" s="627"/>
      <c r="I654" s="628"/>
      <c r="J654" s="629"/>
      <c r="K654" s="629"/>
      <c r="L654" s="629"/>
      <c r="M654" s="629"/>
      <c r="N654" s="629"/>
      <c r="O654" s="618"/>
      <c r="P654" s="618"/>
      <c r="Q654" s="618"/>
      <c r="R654" s="618"/>
      <c r="S654" s="618"/>
      <c r="T654" s="618"/>
      <c r="U654" s="618"/>
      <c r="Y654" s="619"/>
    </row>
    <row r="655" spans="1:25" x14ac:dyDescent="0.2">
      <c r="A655" s="615"/>
      <c r="B655" s="615"/>
      <c r="C655" s="615"/>
      <c r="D655" s="615"/>
      <c r="E655" s="615"/>
      <c r="F655" s="627"/>
      <c r="G655" s="627"/>
      <c r="H655" s="627"/>
      <c r="I655" s="628"/>
      <c r="J655" s="629"/>
      <c r="K655" s="629"/>
      <c r="L655" s="629"/>
      <c r="M655" s="629"/>
      <c r="N655" s="629"/>
      <c r="O655" s="618"/>
      <c r="P655" s="618"/>
      <c r="Q655" s="618"/>
      <c r="R655" s="618"/>
      <c r="S655" s="618"/>
      <c r="T655" s="618"/>
      <c r="U655" s="618"/>
      <c r="Y655" s="619"/>
    </row>
    <row r="656" spans="1:25" x14ac:dyDescent="0.2">
      <c r="A656" s="615"/>
      <c r="B656" s="615"/>
      <c r="C656" s="615"/>
      <c r="D656" s="615"/>
      <c r="E656" s="615"/>
      <c r="F656" s="627"/>
      <c r="G656" s="627"/>
      <c r="H656" s="627"/>
      <c r="I656" s="628"/>
      <c r="J656" s="629"/>
      <c r="K656" s="629"/>
      <c r="L656" s="629"/>
      <c r="M656" s="629"/>
      <c r="N656" s="629"/>
      <c r="O656" s="618"/>
      <c r="P656" s="618"/>
      <c r="Q656" s="618"/>
      <c r="R656" s="618"/>
      <c r="S656" s="618"/>
      <c r="T656" s="618"/>
      <c r="U656" s="618"/>
      <c r="Y656" s="619"/>
    </row>
    <row r="657" spans="1:25" x14ac:dyDescent="0.2">
      <c r="A657" s="615"/>
      <c r="B657" s="615"/>
      <c r="C657" s="615"/>
      <c r="D657" s="615"/>
      <c r="E657" s="615"/>
      <c r="F657" s="627"/>
      <c r="G657" s="627"/>
      <c r="H657" s="627"/>
      <c r="I657" s="628"/>
      <c r="J657" s="629"/>
      <c r="K657" s="629"/>
      <c r="L657" s="629"/>
      <c r="M657" s="629"/>
      <c r="N657" s="629"/>
      <c r="O657" s="618"/>
      <c r="P657" s="618"/>
      <c r="Q657" s="618"/>
      <c r="R657" s="618"/>
      <c r="S657" s="618"/>
      <c r="T657" s="618"/>
      <c r="U657" s="618"/>
      <c r="Y657" s="619"/>
    </row>
    <row r="658" spans="1:25" x14ac:dyDescent="0.2">
      <c r="A658" s="615"/>
      <c r="B658" s="615"/>
      <c r="C658" s="615"/>
      <c r="D658" s="615"/>
      <c r="E658" s="615"/>
      <c r="F658" s="627"/>
      <c r="G658" s="627"/>
      <c r="H658" s="627"/>
      <c r="I658" s="628"/>
      <c r="J658" s="629"/>
      <c r="K658" s="629"/>
      <c r="L658" s="629"/>
      <c r="M658" s="629"/>
      <c r="N658" s="629"/>
      <c r="O658" s="618"/>
      <c r="P658" s="618"/>
      <c r="Q658" s="618"/>
      <c r="R658" s="618"/>
      <c r="S658" s="618"/>
      <c r="T658" s="618"/>
      <c r="U658" s="618"/>
      <c r="Y658" s="619"/>
    </row>
    <row r="659" spans="1:25" x14ac:dyDescent="0.2">
      <c r="A659" s="615"/>
      <c r="B659" s="615"/>
      <c r="C659" s="615"/>
      <c r="D659" s="615"/>
      <c r="E659" s="615"/>
      <c r="F659" s="627"/>
      <c r="G659" s="627"/>
      <c r="H659" s="627"/>
      <c r="I659" s="628"/>
      <c r="J659" s="629"/>
      <c r="K659" s="629"/>
      <c r="L659" s="629"/>
      <c r="M659" s="629"/>
      <c r="N659" s="629"/>
      <c r="O659" s="618"/>
      <c r="P659" s="618"/>
      <c r="Q659" s="618"/>
      <c r="R659" s="618"/>
      <c r="S659" s="618"/>
      <c r="T659" s="618"/>
      <c r="U659" s="618"/>
      <c r="Y659" s="619"/>
    </row>
    <row r="660" spans="1:25" x14ac:dyDescent="0.2">
      <c r="A660" s="615"/>
      <c r="B660" s="615"/>
      <c r="C660" s="615"/>
      <c r="D660" s="615"/>
      <c r="E660" s="615"/>
      <c r="F660" s="627"/>
      <c r="G660" s="627"/>
      <c r="H660" s="627"/>
      <c r="I660" s="628"/>
      <c r="J660" s="629"/>
      <c r="K660" s="629"/>
      <c r="L660" s="629"/>
      <c r="M660" s="629"/>
      <c r="N660" s="629"/>
      <c r="O660" s="618"/>
      <c r="P660" s="618"/>
      <c r="Q660" s="618"/>
      <c r="R660" s="618"/>
      <c r="S660" s="618"/>
      <c r="T660" s="618"/>
      <c r="U660" s="618"/>
      <c r="Y660" s="619"/>
    </row>
    <row r="661" spans="1:25" x14ac:dyDescent="0.2">
      <c r="A661" s="615"/>
      <c r="B661" s="615"/>
      <c r="C661" s="615"/>
      <c r="D661" s="615"/>
      <c r="E661" s="615"/>
      <c r="F661" s="627"/>
      <c r="G661" s="627"/>
      <c r="H661" s="627"/>
      <c r="I661" s="628"/>
      <c r="J661" s="629"/>
      <c r="K661" s="629"/>
      <c r="L661" s="629"/>
      <c r="M661" s="629"/>
      <c r="N661" s="629"/>
      <c r="O661" s="618"/>
      <c r="P661" s="618"/>
      <c r="Q661" s="618"/>
      <c r="R661" s="618"/>
      <c r="S661" s="618"/>
      <c r="T661" s="618"/>
      <c r="U661" s="618"/>
      <c r="Y661" s="619"/>
    </row>
    <row r="662" spans="1:25" x14ac:dyDescent="0.2">
      <c r="A662" s="615"/>
      <c r="B662" s="615"/>
      <c r="C662" s="615"/>
      <c r="D662" s="615"/>
      <c r="E662" s="615"/>
      <c r="F662" s="627"/>
      <c r="G662" s="627"/>
      <c r="H662" s="627"/>
      <c r="I662" s="628"/>
      <c r="J662" s="629"/>
      <c r="K662" s="629"/>
      <c r="L662" s="629"/>
      <c r="M662" s="629"/>
      <c r="N662" s="629"/>
      <c r="O662" s="618"/>
      <c r="P662" s="618"/>
      <c r="Q662" s="618"/>
      <c r="R662" s="618"/>
      <c r="S662" s="618"/>
      <c r="T662" s="618"/>
      <c r="U662" s="618"/>
      <c r="Y662" s="619"/>
    </row>
    <row r="663" spans="1:25" x14ac:dyDescent="0.2">
      <c r="A663" s="615"/>
      <c r="B663" s="615"/>
      <c r="C663" s="615"/>
      <c r="D663" s="615"/>
      <c r="E663" s="615"/>
      <c r="F663" s="627"/>
      <c r="G663" s="627"/>
      <c r="H663" s="627"/>
      <c r="I663" s="628"/>
      <c r="J663" s="629"/>
      <c r="K663" s="629"/>
      <c r="L663" s="629"/>
      <c r="M663" s="629"/>
      <c r="N663" s="629"/>
      <c r="O663" s="618"/>
      <c r="P663" s="618"/>
      <c r="Q663" s="618"/>
      <c r="R663" s="618"/>
      <c r="S663" s="618"/>
      <c r="T663" s="618"/>
      <c r="U663" s="618"/>
      <c r="Y663" s="619"/>
    </row>
    <row r="664" spans="1:25" x14ac:dyDescent="0.2">
      <c r="A664" s="615"/>
      <c r="B664" s="615"/>
      <c r="C664" s="615"/>
      <c r="D664" s="615"/>
      <c r="E664" s="615"/>
      <c r="F664" s="627"/>
      <c r="G664" s="627"/>
      <c r="H664" s="627"/>
      <c r="I664" s="628"/>
      <c r="J664" s="629"/>
      <c r="K664" s="629"/>
      <c r="L664" s="629"/>
      <c r="M664" s="629"/>
      <c r="N664" s="629"/>
      <c r="O664" s="618"/>
      <c r="P664" s="618"/>
      <c r="Q664" s="618"/>
      <c r="R664" s="618"/>
      <c r="S664" s="618"/>
      <c r="T664" s="618"/>
      <c r="U664" s="618"/>
      <c r="Y664" s="619"/>
    </row>
    <row r="665" spans="1:25" x14ac:dyDescent="0.2">
      <c r="A665" s="615"/>
      <c r="B665" s="615"/>
      <c r="C665" s="615"/>
      <c r="D665" s="615"/>
      <c r="E665" s="615"/>
      <c r="F665" s="627"/>
      <c r="G665" s="627"/>
      <c r="H665" s="627"/>
      <c r="I665" s="628"/>
      <c r="J665" s="629"/>
      <c r="K665" s="629"/>
      <c r="L665" s="629"/>
      <c r="M665" s="629"/>
      <c r="N665" s="629"/>
      <c r="O665" s="618"/>
      <c r="P665" s="618"/>
      <c r="Q665" s="618"/>
      <c r="R665" s="618"/>
      <c r="S665" s="618"/>
      <c r="T665" s="618"/>
      <c r="U665" s="618"/>
      <c r="Y665" s="619"/>
    </row>
    <row r="666" spans="1:25" x14ac:dyDescent="0.2">
      <c r="A666" s="615"/>
      <c r="B666" s="615"/>
      <c r="C666" s="615"/>
      <c r="D666" s="615"/>
      <c r="E666" s="615"/>
      <c r="F666" s="627"/>
      <c r="G666" s="627"/>
      <c r="H666" s="627"/>
      <c r="I666" s="628"/>
      <c r="J666" s="629"/>
      <c r="K666" s="629"/>
      <c r="L666" s="629"/>
      <c r="M666" s="629"/>
      <c r="N666" s="629"/>
      <c r="O666" s="618"/>
      <c r="P666" s="618"/>
      <c r="Q666" s="618"/>
      <c r="R666" s="618"/>
      <c r="S666" s="618"/>
      <c r="T666" s="618"/>
      <c r="U666" s="618"/>
      <c r="Y666" s="619"/>
    </row>
    <row r="667" spans="1:25" x14ac:dyDescent="0.2">
      <c r="A667" s="615"/>
      <c r="B667" s="615"/>
      <c r="C667" s="615"/>
      <c r="D667" s="615"/>
      <c r="E667" s="615"/>
      <c r="F667" s="627"/>
      <c r="G667" s="627"/>
      <c r="H667" s="627"/>
      <c r="I667" s="628"/>
      <c r="J667" s="629"/>
      <c r="K667" s="629"/>
      <c r="L667" s="629"/>
      <c r="M667" s="629"/>
      <c r="N667" s="629"/>
      <c r="O667" s="618"/>
      <c r="P667" s="618"/>
      <c r="Q667" s="618"/>
      <c r="R667" s="618"/>
      <c r="S667" s="618"/>
      <c r="T667" s="618"/>
      <c r="U667" s="618"/>
      <c r="Y667" s="619"/>
    </row>
    <row r="668" spans="1:25" x14ac:dyDescent="0.2">
      <c r="A668" s="615"/>
      <c r="B668" s="615"/>
      <c r="C668" s="615"/>
      <c r="D668" s="615"/>
      <c r="E668" s="615"/>
      <c r="F668" s="627"/>
      <c r="G668" s="627"/>
      <c r="H668" s="627"/>
      <c r="I668" s="628"/>
      <c r="J668" s="629"/>
      <c r="K668" s="629"/>
      <c r="L668" s="629"/>
      <c r="M668" s="629"/>
      <c r="N668" s="629"/>
      <c r="O668" s="618"/>
      <c r="P668" s="618"/>
      <c r="Q668" s="618"/>
      <c r="R668" s="618"/>
      <c r="S668" s="618"/>
      <c r="T668" s="618"/>
      <c r="U668" s="618"/>
      <c r="Y668" s="619"/>
    </row>
    <row r="669" spans="1:25" x14ac:dyDescent="0.2">
      <c r="A669" s="615"/>
      <c r="B669" s="615"/>
      <c r="C669" s="615"/>
      <c r="D669" s="615"/>
      <c r="E669" s="615"/>
      <c r="F669" s="627"/>
      <c r="G669" s="627"/>
      <c r="H669" s="627"/>
      <c r="I669" s="628"/>
      <c r="J669" s="629"/>
      <c r="K669" s="629"/>
      <c r="L669" s="629"/>
      <c r="M669" s="629"/>
      <c r="N669" s="629"/>
      <c r="O669" s="618"/>
      <c r="P669" s="618"/>
      <c r="Q669" s="618"/>
      <c r="R669" s="618"/>
      <c r="S669" s="618"/>
      <c r="T669" s="618"/>
      <c r="U669" s="618"/>
      <c r="Y669" s="619"/>
    </row>
    <row r="670" spans="1:25" x14ac:dyDescent="0.2">
      <c r="A670" s="615"/>
      <c r="B670" s="615"/>
      <c r="C670" s="615"/>
      <c r="D670" s="615"/>
      <c r="E670" s="615"/>
      <c r="F670" s="627"/>
      <c r="G670" s="627"/>
      <c r="H670" s="627"/>
      <c r="I670" s="628"/>
      <c r="J670" s="629"/>
      <c r="K670" s="629"/>
      <c r="L670" s="629"/>
      <c r="M670" s="629"/>
      <c r="N670" s="629"/>
      <c r="O670" s="618"/>
      <c r="P670" s="618"/>
      <c r="Q670" s="618"/>
      <c r="R670" s="618"/>
      <c r="S670" s="618"/>
      <c r="T670" s="618"/>
      <c r="U670" s="618"/>
      <c r="Y670" s="619"/>
    </row>
    <row r="671" spans="1:25" x14ac:dyDescent="0.2">
      <c r="A671" s="615"/>
      <c r="B671" s="615"/>
      <c r="C671" s="615"/>
      <c r="D671" s="615"/>
      <c r="E671" s="615"/>
      <c r="F671" s="627"/>
      <c r="G671" s="627"/>
      <c r="H671" s="627"/>
      <c r="I671" s="628"/>
      <c r="J671" s="629"/>
      <c r="K671" s="629"/>
      <c r="L671" s="629"/>
      <c r="M671" s="629"/>
      <c r="N671" s="629"/>
      <c r="O671" s="618"/>
      <c r="P671" s="618"/>
      <c r="Q671" s="618"/>
      <c r="R671" s="618"/>
      <c r="S671" s="618"/>
      <c r="T671" s="618"/>
      <c r="U671" s="618"/>
      <c r="Y671" s="619"/>
    </row>
    <row r="672" spans="1:25" x14ac:dyDescent="0.2">
      <c r="A672" s="615"/>
      <c r="B672" s="615"/>
      <c r="C672" s="615"/>
      <c r="D672" s="615"/>
      <c r="E672" s="615"/>
      <c r="F672" s="627"/>
      <c r="G672" s="627"/>
      <c r="H672" s="627"/>
      <c r="I672" s="628"/>
      <c r="J672" s="629"/>
      <c r="K672" s="629"/>
      <c r="L672" s="629"/>
      <c r="M672" s="629"/>
      <c r="N672" s="629"/>
      <c r="O672" s="618"/>
      <c r="P672" s="618"/>
      <c r="Q672" s="618"/>
      <c r="R672" s="618"/>
      <c r="S672" s="618"/>
      <c r="T672" s="618"/>
      <c r="U672" s="618"/>
      <c r="Y672" s="619"/>
    </row>
    <row r="673" spans="1:25" x14ac:dyDescent="0.2">
      <c r="A673" s="615"/>
      <c r="B673" s="615"/>
      <c r="C673" s="615"/>
      <c r="D673" s="615"/>
      <c r="E673" s="615"/>
      <c r="F673" s="627"/>
      <c r="G673" s="627"/>
      <c r="H673" s="627"/>
      <c r="I673" s="628"/>
      <c r="J673" s="629"/>
      <c r="K673" s="629"/>
      <c r="L673" s="629"/>
      <c r="M673" s="629"/>
      <c r="N673" s="629"/>
      <c r="O673" s="618"/>
      <c r="P673" s="618"/>
      <c r="Q673" s="618"/>
      <c r="R673" s="618"/>
      <c r="S673" s="618"/>
      <c r="T673" s="618"/>
      <c r="U673" s="618"/>
      <c r="Y673" s="619"/>
    </row>
    <row r="674" spans="1:25" x14ac:dyDescent="0.2">
      <c r="A674" s="615"/>
      <c r="B674" s="615"/>
      <c r="C674" s="615"/>
      <c r="D674" s="615"/>
      <c r="E674" s="615"/>
      <c r="F674" s="627"/>
      <c r="G674" s="627"/>
      <c r="H674" s="627"/>
      <c r="I674" s="628"/>
      <c r="J674" s="629"/>
      <c r="K674" s="629"/>
      <c r="L674" s="629"/>
      <c r="M674" s="629"/>
      <c r="N674" s="629"/>
      <c r="O674" s="618"/>
      <c r="P674" s="618"/>
      <c r="Q674" s="618"/>
      <c r="R674" s="618"/>
      <c r="S674" s="618"/>
      <c r="T674" s="618"/>
      <c r="U674" s="618"/>
      <c r="Y674" s="619"/>
    </row>
    <row r="675" spans="1:25" x14ac:dyDescent="0.2">
      <c r="A675" s="615"/>
      <c r="B675" s="615"/>
      <c r="C675" s="615"/>
      <c r="D675" s="615"/>
      <c r="E675" s="615"/>
      <c r="F675" s="627"/>
      <c r="G675" s="627"/>
      <c r="H675" s="627"/>
      <c r="I675" s="628"/>
      <c r="J675" s="629"/>
      <c r="K675" s="629"/>
      <c r="L675" s="629"/>
      <c r="M675" s="629"/>
      <c r="N675" s="629"/>
      <c r="O675" s="618"/>
      <c r="P675" s="618"/>
      <c r="Q675" s="618"/>
      <c r="R675" s="618"/>
      <c r="S675" s="618"/>
      <c r="T675" s="618"/>
      <c r="U675" s="618"/>
      <c r="Y675" s="619"/>
    </row>
    <row r="676" spans="1:25" x14ac:dyDescent="0.2">
      <c r="A676" s="615"/>
      <c r="B676" s="615"/>
      <c r="C676" s="615"/>
      <c r="D676" s="615"/>
      <c r="E676" s="615"/>
      <c r="F676" s="627"/>
      <c r="G676" s="627"/>
      <c r="H676" s="627"/>
      <c r="I676" s="628"/>
      <c r="J676" s="629"/>
      <c r="K676" s="629"/>
      <c r="L676" s="629"/>
      <c r="M676" s="629"/>
      <c r="N676" s="629"/>
      <c r="O676" s="618"/>
      <c r="P676" s="618"/>
      <c r="Q676" s="618"/>
      <c r="R676" s="618"/>
      <c r="S676" s="618"/>
      <c r="T676" s="618"/>
      <c r="U676" s="618"/>
      <c r="Y676" s="619"/>
    </row>
    <row r="677" spans="1:25" x14ac:dyDescent="0.2">
      <c r="A677" s="615"/>
      <c r="B677" s="615"/>
      <c r="C677" s="615"/>
      <c r="D677" s="615"/>
      <c r="E677" s="615"/>
      <c r="F677" s="627"/>
      <c r="G677" s="627"/>
      <c r="H677" s="627"/>
      <c r="I677" s="628"/>
      <c r="J677" s="629"/>
      <c r="K677" s="629"/>
      <c r="L677" s="629"/>
      <c r="M677" s="629"/>
      <c r="N677" s="629"/>
      <c r="O677" s="618"/>
      <c r="P677" s="618"/>
      <c r="Q677" s="618"/>
      <c r="R677" s="618"/>
      <c r="S677" s="618"/>
      <c r="T677" s="618"/>
      <c r="U677" s="618"/>
      <c r="Y677" s="619"/>
    </row>
    <row r="678" spans="1:25" x14ac:dyDescent="0.2">
      <c r="A678" s="615"/>
      <c r="B678" s="615"/>
      <c r="C678" s="615"/>
      <c r="D678" s="615"/>
      <c r="E678" s="615"/>
      <c r="F678" s="627"/>
      <c r="G678" s="627"/>
      <c r="H678" s="627"/>
      <c r="I678" s="628"/>
      <c r="J678" s="629"/>
      <c r="K678" s="629"/>
      <c r="L678" s="629"/>
      <c r="M678" s="629"/>
      <c r="N678" s="629"/>
      <c r="O678" s="618"/>
      <c r="P678" s="618"/>
      <c r="Q678" s="618"/>
      <c r="R678" s="618"/>
      <c r="S678" s="618"/>
      <c r="T678" s="618"/>
      <c r="U678" s="618"/>
      <c r="Y678" s="619"/>
    </row>
    <row r="679" spans="1:25" x14ac:dyDescent="0.2">
      <c r="A679" s="615"/>
      <c r="B679" s="615"/>
      <c r="C679" s="615"/>
      <c r="D679" s="615"/>
      <c r="E679" s="615"/>
      <c r="F679" s="627"/>
      <c r="G679" s="627"/>
      <c r="H679" s="627"/>
      <c r="I679" s="628"/>
      <c r="J679" s="629"/>
      <c r="K679" s="629"/>
      <c r="L679" s="629"/>
      <c r="M679" s="629"/>
      <c r="N679" s="629"/>
      <c r="O679" s="618"/>
      <c r="P679" s="618"/>
      <c r="Q679" s="618"/>
      <c r="R679" s="618"/>
      <c r="S679" s="618"/>
      <c r="T679" s="618"/>
      <c r="U679" s="618"/>
      <c r="Y679" s="619"/>
    </row>
    <row r="680" spans="1:25" x14ac:dyDescent="0.2">
      <c r="A680" s="615"/>
      <c r="B680" s="615"/>
      <c r="C680" s="615"/>
      <c r="D680" s="615"/>
      <c r="E680" s="615"/>
      <c r="F680" s="627"/>
      <c r="G680" s="627"/>
      <c r="H680" s="627"/>
      <c r="I680" s="628"/>
      <c r="J680" s="629"/>
      <c r="K680" s="629"/>
      <c r="L680" s="629"/>
      <c r="M680" s="629"/>
      <c r="N680" s="629"/>
      <c r="O680" s="618"/>
      <c r="P680" s="618"/>
      <c r="Q680" s="618"/>
      <c r="R680" s="618"/>
      <c r="S680" s="618"/>
      <c r="T680" s="618"/>
      <c r="U680" s="618"/>
      <c r="Y680" s="619"/>
    </row>
    <row r="681" spans="1:25" x14ac:dyDescent="0.2">
      <c r="A681" s="615"/>
      <c r="B681" s="615"/>
      <c r="C681" s="615"/>
      <c r="D681" s="615"/>
      <c r="E681" s="615"/>
      <c r="F681" s="627"/>
      <c r="G681" s="627"/>
      <c r="H681" s="627"/>
      <c r="I681" s="628"/>
      <c r="J681" s="629"/>
      <c r="K681" s="629"/>
      <c r="L681" s="629"/>
      <c r="M681" s="629"/>
      <c r="N681" s="629"/>
      <c r="O681" s="618"/>
      <c r="P681" s="618"/>
      <c r="Q681" s="618"/>
      <c r="R681" s="618"/>
      <c r="S681" s="618"/>
      <c r="T681" s="618"/>
      <c r="U681" s="618"/>
      <c r="Y681" s="619"/>
    </row>
    <row r="682" spans="1:25" x14ac:dyDescent="0.2">
      <c r="A682" s="615"/>
      <c r="B682" s="615"/>
      <c r="C682" s="615"/>
      <c r="D682" s="615"/>
      <c r="E682" s="615"/>
      <c r="F682" s="627"/>
      <c r="G682" s="627"/>
      <c r="H682" s="627"/>
      <c r="I682" s="628"/>
      <c r="J682" s="629"/>
      <c r="K682" s="629"/>
      <c r="L682" s="629"/>
      <c r="M682" s="629"/>
      <c r="N682" s="629"/>
      <c r="O682" s="618"/>
      <c r="P682" s="618"/>
      <c r="Q682" s="618"/>
      <c r="R682" s="618"/>
      <c r="S682" s="618"/>
      <c r="T682" s="618"/>
      <c r="U682" s="618"/>
      <c r="Y682" s="619"/>
    </row>
    <row r="683" spans="1:25" x14ac:dyDescent="0.2">
      <c r="A683" s="615"/>
      <c r="B683" s="615"/>
      <c r="C683" s="615"/>
      <c r="D683" s="615"/>
      <c r="E683" s="615"/>
      <c r="F683" s="627"/>
      <c r="G683" s="627"/>
      <c r="H683" s="627"/>
      <c r="I683" s="628"/>
      <c r="J683" s="629"/>
      <c r="K683" s="629"/>
      <c r="L683" s="629"/>
      <c r="M683" s="629"/>
      <c r="N683" s="629"/>
      <c r="O683" s="618"/>
      <c r="P683" s="618"/>
      <c r="Q683" s="618"/>
      <c r="R683" s="618"/>
      <c r="S683" s="618"/>
      <c r="T683" s="618"/>
      <c r="U683" s="618"/>
      <c r="Y683" s="619"/>
    </row>
    <row r="684" spans="1:25" x14ac:dyDescent="0.2">
      <c r="A684" s="615"/>
      <c r="B684" s="615"/>
      <c r="C684" s="615"/>
      <c r="D684" s="615"/>
      <c r="E684" s="615"/>
      <c r="F684" s="627"/>
      <c r="G684" s="627"/>
      <c r="H684" s="627"/>
      <c r="I684" s="628"/>
      <c r="J684" s="629"/>
      <c r="K684" s="629"/>
      <c r="L684" s="629"/>
      <c r="M684" s="629"/>
      <c r="N684" s="629"/>
      <c r="O684" s="618"/>
      <c r="P684" s="618"/>
      <c r="Q684" s="618"/>
      <c r="R684" s="618"/>
      <c r="S684" s="618"/>
      <c r="T684" s="618"/>
      <c r="U684" s="618"/>
      <c r="Y684" s="619"/>
    </row>
    <row r="685" spans="1:25" x14ac:dyDescent="0.2">
      <c r="A685" s="615"/>
      <c r="B685" s="615"/>
      <c r="C685" s="615"/>
      <c r="D685" s="615"/>
      <c r="E685" s="615"/>
      <c r="F685" s="627"/>
      <c r="G685" s="627"/>
      <c r="H685" s="627"/>
      <c r="I685" s="628"/>
      <c r="J685" s="629"/>
      <c r="K685" s="629"/>
      <c r="L685" s="629"/>
      <c r="M685" s="629"/>
      <c r="N685" s="629"/>
      <c r="O685" s="618"/>
      <c r="P685" s="618"/>
      <c r="Q685" s="618"/>
      <c r="R685" s="618"/>
      <c r="S685" s="618"/>
      <c r="T685" s="618"/>
      <c r="U685" s="618"/>
      <c r="Y685" s="619"/>
    </row>
    <row r="686" spans="1:25" x14ac:dyDescent="0.2">
      <c r="A686" s="615"/>
      <c r="B686" s="615"/>
      <c r="C686" s="615"/>
      <c r="D686" s="615"/>
      <c r="E686" s="615"/>
      <c r="F686" s="627"/>
      <c r="G686" s="627"/>
      <c r="H686" s="627"/>
      <c r="I686" s="628"/>
      <c r="J686" s="629"/>
      <c r="K686" s="629"/>
      <c r="L686" s="629"/>
      <c r="M686" s="629"/>
      <c r="N686" s="629"/>
      <c r="O686" s="618"/>
      <c r="P686" s="618"/>
      <c r="Q686" s="618"/>
      <c r="R686" s="618"/>
      <c r="S686" s="618"/>
      <c r="T686" s="618"/>
      <c r="U686" s="618"/>
      <c r="Y686" s="619"/>
    </row>
    <row r="687" spans="1:25" x14ac:dyDescent="0.2">
      <c r="A687" s="615"/>
      <c r="B687" s="615"/>
      <c r="C687" s="615"/>
      <c r="D687" s="615"/>
      <c r="E687" s="615"/>
      <c r="F687" s="627"/>
      <c r="G687" s="627"/>
      <c r="H687" s="627"/>
      <c r="I687" s="628"/>
      <c r="J687" s="629"/>
      <c r="K687" s="629"/>
      <c r="L687" s="629"/>
      <c r="M687" s="629"/>
      <c r="N687" s="629"/>
      <c r="O687" s="618"/>
      <c r="P687" s="618"/>
      <c r="Q687" s="618"/>
      <c r="R687" s="618"/>
      <c r="S687" s="618"/>
      <c r="T687" s="618"/>
      <c r="U687" s="618"/>
      <c r="Y687" s="619"/>
    </row>
    <row r="688" spans="1:25" x14ac:dyDescent="0.2">
      <c r="A688" s="615"/>
      <c r="B688" s="615"/>
      <c r="C688" s="615"/>
      <c r="D688" s="615"/>
      <c r="E688" s="615"/>
      <c r="F688" s="627"/>
      <c r="G688" s="627"/>
      <c r="H688" s="627"/>
      <c r="I688" s="628"/>
      <c r="J688" s="629"/>
      <c r="K688" s="629"/>
      <c r="L688" s="629"/>
      <c r="M688" s="629"/>
      <c r="N688" s="629"/>
      <c r="O688" s="618"/>
      <c r="P688" s="618"/>
      <c r="Q688" s="618"/>
      <c r="R688" s="618"/>
      <c r="S688" s="618"/>
      <c r="T688" s="618"/>
      <c r="U688" s="618"/>
      <c r="Y688" s="619"/>
    </row>
    <row r="689" spans="1:25" x14ac:dyDescent="0.2">
      <c r="A689" s="615"/>
      <c r="B689" s="615"/>
      <c r="C689" s="615"/>
      <c r="D689" s="615"/>
      <c r="E689" s="615"/>
      <c r="F689" s="627"/>
      <c r="G689" s="627"/>
      <c r="H689" s="627"/>
      <c r="I689" s="628"/>
      <c r="J689" s="629"/>
      <c r="K689" s="629"/>
      <c r="L689" s="629"/>
      <c r="M689" s="629"/>
      <c r="N689" s="629"/>
      <c r="O689" s="618"/>
      <c r="P689" s="618"/>
      <c r="Q689" s="618"/>
      <c r="R689" s="618"/>
      <c r="S689" s="618"/>
      <c r="T689" s="618"/>
      <c r="U689" s="618"/>
      <c r="Y689" s="619"/>
    </row>
    <row r="690" spans="1:25" x14ac:dyDescent="0.2">
      <c r="A690" s="615"/>
      <c r="B690" s="615"/>
      <c r="C690" s="615"/>
      <c r="D690" s="615"/>
      <c r="E690" s="615"/>
      <c r="F690" s="627"/>
      <c r="G690" s="627"/>
      <c r="H690" s="627"/>
      <c r="I690" s="628"/>
      <c r="J690" s="629"/>
      <c r="K690" s="629"/>
      <c r="L690" s="629"/>
      <c r="M690" s="629"/>
      <c r="N690" s="629"/>
      <c r="O690" s="618"/>
      <c r="P690" s="618"/>
      <c r="Q690" s="618"/>
      <c r="R690" s="618"/>
      <c r="S690" s="618"/>
      <c r="T690" s="618"/>
      <c r="U690" s="618"/>
      <c r="Y690" s="619"/>
    </row>
    <row r="691" spans="1:25" x14ac:dyDescent="0.2">
      <c r="A691" s="615"/>
      <c r="B691" s="615"/>
      <c r="C691" s="615"/>
      <c r="D691" s="615"/>
      <c r="E691" s="615"/>
      <c r="F691" s="627"/>
      <c r="G691" s="627"/>
      <c r="H691" s="627"/>
      <c r="I691" s="628"/>
      <c r="J691" s="629"/>
      <c r="K691" s="629"/>
      <c r="L691" s="629"/>
      <c r="M691" s="629"/>
      <c r="N691" s="629"/>
      <c r="O691" s="618"/>
      <c r="P691" s="618"/>
      <c r="Q691" s="618"/>
      <c r="R691" s="618"/>
      <c r="S691" s="618"/>
      <c r="T691" s="618"/>
      <c r="U691" s="618"/>
      <c r="Y691" s="619"/>
    </row>
    <row r="692" spans="1:25" x14ac:dyDescent="0.2">
      <c r="A692" s="615"/>
      <c r="B692" s="615"/>
      <c r="C692" s="615"/>
      <c r="D692" s="615"/>
      <c r="E692" s="615"/>
      <c r="F692" s="627"/>
      <c r="G692" s="627"/>
      <c r="H692" s="627"/>
      <c r="I692" s="628"/>
      <c r="J692" s="629"/>
      <c r="K692" s="629"/>
      <c r="L692" s="629"/>
      <c r="M692" s="629"/>
      <c r="N692" s="629"/>
      <c r="O692" s="618"/>
      <c r="P692" s="618"/>
      <c r="Q692" s="618"/>
      <c r="R692" s="618"/>
      <c r="S692" s="618"/>
      <c r="T692" s="618"/>
      <c r="U692" s="618"/>
      <c r="Y692" s="619"/>
    </row>
    <row r="693" spans="1:25" x14ac:dyDescent="0.2">
      <c r="A693" s="615"/>
      <c r="B693" s="615"/>
      <c r="C693" s="615"/>
      <c r="D693" s="615"/>
      <c r="E693" s="615"/>
      <c r="F693" s="627"/>
      <c r="G693" s="627"/>
      <c r="H693" s="627"/>
      <c r="I693" s="628"/>
      <c r="J693" s="629"/>
      <c r="K693" s="629"/>
      <c r="L693" s="629"/>
      <c r="M693" s="629"/>
      <c r="N693" s="629"/>
      <c r="O693" s="618"/>
      <c r="P693" s="618"/>
      <c r="Q693" s="618"/>
      <c r="R693" s="618"/>
      <c r="S693" s="618"/>
      <c r="T693" s="618"/>
      <c r="U693" s="618"/>
      <c r="Y693" s="619"/>
    </row>
    <row r="694" spans="1:25" x14ac:dyDescent="0.2">
      <c r="A694" s="615"/>
      <c r="B694" s="615"/>
      <c r="C694" s="615"/>
      <c r="D694" s="615"/>
      <c r="E694" s="615"/>
      <c r="F694" s="627"/>
      <c r="G694" s="627"/>
      <c r="H694" s="627"/>
      <c r="I694" s="628"/>
      <c r="J694" s="629"/>
      <c r="K694" s="629"/>
      <c r="L694" s="629"/>
      <c r="M694" s="629"/>
      <c r="N694" s="629"/>
      <c r="O694" s="618"/>
      <c r="P694" s="618"/>
      <c r="Q694" s="618"/>
      <c r="R694" s="618"/>
      <c r="S694" s="618"/>
      <c r="T694" s="618"/>
      <c r="U694" s="618"/>
      <c r="Y694" s="619"/>
    </row>
    <row r="695" spans="1:25" x14ac:dyDescent="0.2">
      <c r="A695" s="615"/>
      <c r="B695" s="615"/>
      <c r="C695" s="615"/>
      <c r="D695" s="615"/>
      <c r="E695" s="615"/>
      <c r="F695" s="627"/>
      <c r="G695" s="627"/>
      <c r="H695" s="627"/>
      <c r="I695" s="628"/>
      <c r="J695" s="629"/>
      <c r="K695" s="629"/>
      <c r="L695" s="629"/>
      <c r="M695" s="629"/>
      <c r="N695" s="629"/>
      <c r="O695" s="618"/>
      <c r="P695" s="618"/>
      <c r="Q695" s="618"/>
      <c r="R695" s="618"/>
      <c r="S695" s="618"/>
      <c r="T695" s="618"/>
      <c r="U695" s="618"/>
      <c r="Y695" s="619"/>
    </row>
    <row r="696" spans="1:25" x14ac:dyDescent="0.2">
      <c r="A696" s="615"/>
      <c r="B696" s="615"/>
      <c r="C696" s="615"/>
      <c r="D696" s="615"/>
      <c r="E696" s="615"/>
      <c r="F696" s="627"/>
      <c r="G696" s="627"/>
      <c r="H696" s="627"/>
      <c r="I696" s="628"/>
      <c r="J696" s="629"/>
      <c r="K696" s="629"/>
      <c r="L696" s="629"/>
      <c r="M696" s="629"/>
      <c r="N696" s="629"/>
      <c r="O696" s="618"/>
      <c r="P696" s="618"/>
      <c r="Q696" s="618"/>
      <c r="R696" s="618"/>
      <c r="S696" s="618"/>
      <c r="T696" s="618"/>
      <c r="U696" s="618"/>
      <c r="Y696" s="619"/>
    </row>
    <row r="697" spans="1:25" x14ac:dyDescent="0.2">
      <c r="A697" s="615"/>
      <c r="B697" s="615"/>
      <c r="C697" s="615"/>
      <c r="D697" s="615"/>
      <c r="E697" s="615"/>
      <c r="F697" s="627"/>
      <c r="G697" s="627"/>
      <c r="H697" s="627"/>
      <c r="I697" s="628"/>
      <c r="J697" s="629"/>
      <c r="K697" s="629"/>
      <c r="L697" s="629"/>
      <c r="M697" s="629"/>
      <c r="N697" s="629"/>
      <c r="O697" s="618"/>
      <c r="P697" s="618"/>
      <c r="Q697" s="618"/>
      <c r="R697" s="618"/>
      <c r="S697" s="618"/>
      <c r="T697" s="618"/>
      <c r="U697" s="618"/>
      <c r="Y697" s="619"/>
    </row>
    <row r="698" spans="1:25" x14ac:dyDescent="0.2">
      <c r="A698" s="615"/>
      <c r="B698" s="615"/>
      <c r="C698" s="615"/>
      <c r="D698" s="615"/>
      <c r="E698" s="615"/>
      <c r="F698" s="627"/>
      <c r="G698" s="627"/>
      <c r="H698" s="627"/>
      <c r="I698" s="628"/>
      <c r="J698" s="629"/>
      <c r="K698" s="629"/>
      <c r="L698" s="629"/>
      <c r="M698" s="629"/>
      <c r="N698" s="629"/>
      <c r="O698" s="618"/>
      <c r="P698" s="618"/>
      <c r="Q698" s="618"/>
      <c r="R698" s="618"/>
      <c r="S698" s="618"/>
      <c r="T698" s="618"/>
      <c r="U698" s="618"/>
      <c r="Y698" s="619"/>
    </row>
    <row r="699" spans="1:25" x14ac:dyDescent="0.2">
      <c r="A699" s="615"/>
      <c r="B699" s="615"/>
      <c r="C699" s="615"/>
      <c r="D699" s="615"/>
      <c r="E699" s="615"/>
      <c r="F699" s="627"/>
      <c r="G699" s="627"/>
      <c r="H699" s="627"/>
      <c r="I699" s="628"/>
      <c r="J699" s="629"/>
      <c r="K699" s="629"/>
      <c r="L699" s="629"/>
      <c r="M699" s="629"/>
      <c r="N699" s="629"/>
      <c r="O699" s="618"/>
      <c r="P699" s="618"/>
      <c r="Q699" s="618"/>
      <c r="R699" s="618"/>
      <c r="S699" s="618"/>
      <c r="T699" s="618"/>
      <c r="U699" s="618"/>
      <c r="Y699" s="619"/>
    </row>
    <row r="700" spans="1:25" x14ac:dyDescent="0.2">
      <c r="A700" s="615"/>
      <c r="B700" s="615"/>
      <c r="C700" s="615"/>
      <c r="D700" s="615"/>
      <c r="E700" s="615"/>
      <c r="F700" s="627"/>
      <c r="G700" s="627"/>
      <c r="H700" s="627"/>
      <c r="I700" s="628"/>
      <c r="J700" s="629"/>
      <c r="K700" s="629"/>
      <c r="L700" s="629"/>
      <c r="M700" s="629"/>
      <c r="N700" s="629"/>
      <c r="O700" s="618"/>
      <c r="P700" s="618"/>
      <c r="Q700" s="618"/>
      <c r="R700" s="618"/>
      <c r="S700" s="618"/>
      <c r="T700" s="618"/>
      <c r="U700" s="618"/>
      <c r="Y700" s="619"/>
    </row>
    <row r="701" spans="1:25" x14ac:dyDescent="0.2">
      <c r="A701" s="615"/>
      <c r="B701" s="615"/>
      <c r="C701" s="615"/>
      <c r="D701" s="615"/>
      <c r="E701" s="615"/>
      <c r="F701" s="627"/>
      <c r="G701" s="627"/>
      <c r="H701" s="627"/>
      <c r="I701" s="628"/>
      <c r="J701" s="629"/>
      <c r="K701" s="629"/>
      <c r="L701" s="629"/>
      <c r="M701" s="629"/>
      <c r="N701" s="629"/>
      <c r="O701" s="618"/>
      <c r="P701" s="618"/>
      <c r="Q701" s="618"/>
      <c r="R701" s="618"/>
      <c r="S701" s="618"/>
      <c r="T701" s="618"/>
      <c r="U701" s="618"/>
      <c r="Y701" s="619"/>
    </row>
    <row r="702" spans="1:25" x14ac:dyDescent="0.2">
      <c r="A702" s="615"/>
      <c r="B702" s="615"/>
      <c r="C702" s="615"/>
      <c r="D702" s="615"/>
      <c r="E702" s="615"/>
      <c r="F702" s="627"/>
      <c r="G702" s="627"/>
      <c r="H702" s="627"/>
      <c r="I702" s="628"/>
      <c r="J702" s="629"/>
      <c r="K702" s="629"/>
      <c r="L702" s="629"/>
      <c r="M702" s="629"/>
      <c r="N702" s="629"/>
      <c r="O702" s="618"/>
      <c r="P702" s="618"/>
      <c r="Q702" s="618"/>
      <c r="R702" s="618"/>
      <c r="S702" s="618"/>
      <c r="T702" s="618"/>
      <c r="U702" s="618"/>
      <c r="Y702" s="619"/>
    </row>
    <row r="703" spans="1:25" x14ac:dyDescent="0.2">
      <c r="A703" s="615"/>
      <c r="B703" s="615"/>
      <c r="C703" s="615"/>
      <c r="D703" s="615"/>
      <c r="E703" s="615"/>
      <c r="F703" s="627"/>
      <c r="G703" s="627"/>
      <c r="H703" s="627"/>
      <c r="I703" s="628"/>
      <c r="J703" s="629"/>
      <c r="K703" s="629"/>
      <c r="L703" s="629"/>
      <c r="M703" s="629"/>
      <c r="N703" s="629"/>
      <c r="O703" s="618"/>
      <c r="P703" s="618"/>
      <c r="Q703" s="618"/>
      <c r="R703" s="618"/>
      <c r="S703" s="618"/>
      <c r="T703" s="618"/>
      <c r="U703" s="618"/>
      <c r="Y703" s="619"/>
    </row>
    <row r="704" spans="1:25" x14ac:dyDescent="0.2">
      <c r="A704" s="615"/>
      <c r="B704" s="615"/>
      <c r="C704" s="615"/>
      <c r="D704" s="615"/>
      <c r="E704" s="615"/>
      <c r="F704" s="627"/>
      <c r="G704" s="627"/>
      <c r="H704" s="627"/>
      <c r="I704" s="628"/>
      <c r="J704" s="629"/>
      <c r="K704" s="629"/>
      <c r="L704" s="629"/>
      <c r="M704" s="629"/>
      <c r="N704" s="629"/>
      <c r="O704" s="618"/>
      <c r="P704" s="618"/>
      <c r="Q704" s="618"/>
      <c r="R704" s="618"/>
      <c r="S704" s="618"/>
      <c r="T704" s="618"/>
      <c r="U704" s="618"/>
      <c r="Y704" s="619"/>
    </row>
    <row r="705" spans="1:25" x14ac:dyDescent="0.2">
      <c r="A705" s="615"/>
      <c r="B705" s="615"/>
      <c r="C705" s="615"/>
      <c r="D705" s="615"/>
      <c r="E705" s="615"/>
      <c r="F705" s="627"/>
      <c r="G705" s="627"/>
      <c r="H705" s="627"/>
      <c r="I705" s="628"/>
      <c r="J705" s="629"/>
      <c r="K705" s="629"/>
      <c r="L705" s="629"/>
      <c r="M705" s="629"/>
      <c r="N705" s="629"/>
      <c r="O705" s="618"/>
      <c r="P705" s="618"/>
      <c r="Q705" s="618"/>
      <c r="R705" s="618"/>
      <c r="S705" s="618"/>
      <c r="T705" s="618"/>
      <c r="U705" s="618"/>
      <c r="Y705" s="619"/>
    </row>
    <row r="706" spans="1:25" x14ac:dyDescent="0.2">
      <c r="A706" s="615"/>
      <c r="B706" s="615"/>
      <c r="C706" s="615"/>
      <c r="D706" s="615"/>
      <c r="E706" s="615"/>
      <c r="F706" s="627"/>
      <c r="G706" s="627"/>
      <c r="H706" s="627"/>
      <c r="I706" s="628"/>
      <c r="J706" s="629"/>
      <c r="K706" s="629"/>
      <c r="L706" s="629"/>
      <c r="M706" s="629"/>
      <c r="N706" s="629"/>
      <c r="O706" s="618"/>
      <c r="P706" s="618"/>
      <c r="Q706" s="618"/>
      <c r="R706" s="618"/>
      <c r="S706" s="618"/>
      <c r="T706" s="618"/>
      <c r="U706" s="618"/>
      <c r="Y706" s="619"/>
    </row>
    <row r="707" spans="1:25" x14ac:dyDescent="0.2">
      <c r="A707" s="615"/>
      <c r="B707" s="615"/>
      <c r="C707" s="615"/>
      <c r="D707" s="615"/>
      <c r="E707" s="615"/>
      <c r="F707" s="627"/>
      <c r="G707" s="627"/>
      <c r="H707" s="627"/>
      <c r="I707" s="628"/>
      <c r="J707" s="629"/>
      <c r="K707" s="629"/>
      <c r="L707" s="629"/>
      <c r="M707" s="629"/>
      <c r="N707" s="629"/>
      <c r="O707" s="618"/>
      <c r="P707" s="618"/>
      <c r="Q707" s="618"/>
      <c r="R707" s="618"/>
      <c r="S707" s="618"/>
      <c r="T707" s="618"/>
      <c r="U707" s="618"/>
      <c r="Y707" s="619"/>
    </row>
    <row r="708" spans="1:25" x14ac:dyDescent="0.2">
      <c r="A708" s="615"/>
      <c r="B708" s="615"/>
      <c r="C708" s="615"/>
      <c r="D708" s="615"/>
      <c r="E708" s="615"/>
      <c r="F708" s="627"/>
      <c r="G708" s="627"/>
      <c r="H708" s="627"/>
      <c r="I708" s="628"/>
      <c r="J708" s="629"/>
      <c r="K708" s="629"/>
      <c r="L708" s="629"/>
      <c r="M708" s="629"/>
      <c r="N708" s="629"/>
      <c r="O708" s="618"/>
      <c r="P708" s="618"/>
      <c r="Q708" s="618"/>
      <c r="R708" s="618"/>
      <c r="S708" s="618"/>
      <c r="T708" s="618"/>
      <c r="U708" s="618"/>
      <c r="Y708" s="619"/>
    </row>
    <row r="709" spans="1:25" x14ac:dyDescent="0.2">
      <c r="A709" s="615"/>
      <c r="B709" s="615"/>
      <c r="C709" s="615"/>
      <c r="D709" s="615"/>
      <c r="E709" s="615"/>
      <c r="F709" s="627"/>
      <c r="G709" s="627"/>
      <c r="H709" s="627"/>
      <c r="I709" s="628"/>
      <c r="J709" s="629"/>
      <c r="K709" s="629"/>
      <c r="L709" s="629"/>
      <c r="M709" s="629"/>
      <c r="N709" s="629"/>
      <c r="O709" s="618"/>
      <c r="P709" s="618"/>
      <c r="Q709" s="618"/>
      <c r="R709" s="618"/>
      <c r="S709" s="618"/>
      <c r="T709" s="618"/>
      <c r="U709" s="618"/>
      <c r="Y709" s="619"/>
    </row>
    <row r="710" spans="1:25" x14ac:dyDescent="0.2">
      <c r="A710" s="615"/>
      <c r="B710" s="615"/>
      <c r="C710" s="615"/>
      <c r="D710" s="615"/>
      <c r="E710" s="615"/>
      <c r="F710" s="627"/>
      <c r="G710" s="627"/>
      <c r="H710" s="627"/>
      <c r="I710" s="628"/>
      <c r="J710" s="629"/>
      <c r="K710" s="629"/>
      <c r="L710" s="629"/>
      <c r="M710" s="629"/>
      <c r="N710" s="629"/>
      <c r="O710" s="618"/>
      <c r="P710" s="618"/>
      <c r="Q710" s="618"/>
      <c r="R710" s="618"/>
      <c r="S710" s="618"/>
      <c r="T710" s="618"/>
      <c r="U710" s="618"/>
      <c r="Y710" s="619"/>
    </row>
    <row r="711" spans="1:25" x14ac:dyDescent="0.2">
      <c r="A711" s="615"/>
      <c r="B711" s="615"/>
      <c r="C711" s="615"/>
      <c r="D711" s="615"/>
      <c r="E711" s="615"/>
      <c r="F711" s="627"/>
      <c r="G711" s="627"/>
      <c r="H711" s="627"/>
      <c r="I711" s="628"/>
      <c r="J711" s="629"/>
      <c r="K711" s="629"/>
      <c r="L711" s="629"/>
      <c r="M711" s="629"/>
      <c r="N711" s="629"/>
      <c r="O711" s="618"/>
      <c r="P711" s="618"/>
      <c r="Q711" s="618"/>
      <c r="R711" s="618"/>
      <c r="S711" s="618"/>
      <c r="T711" s="618"/>
      <c r="U711" s="618"/>
      <c r="Y711" s="619"/>
    </row>
    <row r="712" spans="1:25" x14ac:dyDescent="0.2">
      <c r="A712" s="615"/>
      <c r="B712" s="615"/>
      <c r="C712" s="615"/>
      <c r="D712" s="615"/>
      <c r="E712" s="615"/>
      <c r="F712" s="627"/>
      <c r="G712" s="627"/>
      <c r="H712" s="627"/>
      <c r="I712" s="628"/>
      <c r="J712" s="629"/>
      <c r="K712" s="629"/>
      <c r="L712" s="629"/>
      <c r="M712" s="629"/>
      <c r="N712" s="629"/>
      <c r="O712" s="618"/>
      <c r="P712" s="618"/>
      <c r="Q712" s="618"/>
      <c r="R712" s="618"/>
      <c r="S712" s="618"/>
      <c r="T712" s="618"/>
      <c r="U712" s="618"/>
      <c r="Y712" s="619"/>
    </row>
    <row r="713" spans="1:25" x14ac:dyDescent="0.2">
      <c r="A713" s="615"/>
      <c r="B713" s="615"/>
      <c r="C713" s="615"/>
      <c r="D713" s="615"/>
      <c r="E713" s="615"/>
      <c r="F713" s="627"/>
      <c r="G713" s="627"/>
      <c r="H713" s="627"/>
      <c r="I713" s="628"/>
      <c r="J713" s="629"/>
      <c r="K713" s="629"/>
      <c r="L713" s="629"/>
      <c r="M713" s="629"/>
      <c r="N713" s="629"/>
      <c r="O713" s="618"/>
      <c r="P713" s="618"/>
      <c r="Q713" s="618"/>
      <c r="R713" s="618"/>
      <c r="S713" s="618"/>
      <c r="T713" s="618"/>
      <c r="U713" s="618"/>
      <c r="Y713" s="619"/>
    </row>
    <row r="714" spans="1:25" x14ac:dyDescent="0.2">
      <c r="A714" s="615"/>
      <c r="B714" s="615"/>
      <c r="C714" s="615"/>
      <c r="D714" s="615"/>
      <c r="E714" s="615"/>
      <c r="F714" s="627"/>
      <c r="G714" s="627"/>
      <c r="H714" s="627"/>
      <c r="I714" s="628"/>
      <c r="J714" s="629"/>
      <c r="K714" s="629"/>
      <c r="L714" s="629"/>
      <c r="M714" s="629"/>
      <c r="N714" s="629"/>
      <c r="O714" s="618"/>
      <c r="P714" s="618"/>
      <c r="Q714" s="618"/>
      <c r="R714" s="618"/>
      <c r="S714" s="618"/>
      <c r="T714" s="618"/>
      <c r="U714" s="618"/>
      <c r="Y714" s="619"/>
    </row>
    <row r="715" spans="1:25" x14ac:dyDescent="0.2">
      <c r="A715" s="615"/>
      <c r="B715" s="615"/>
      <c r="C715" s="615"/>
      <c r="D715" s="615"/>
      <c r="E715" s="615"/>
      <c r="F715" s="627"/>
      <c r="G715" s="627"/>
      <c r="H715" s="627"/>
      <c r="I715" s="628"/>
      <c r="J715" s="629"/>
      <c r="K715" s="629"/>
      <c r="L715" s="629"/>
      <c r="M715" s="629"/>
      <c r="N715" s="629"/>
      <c r="O715" s="618"/>
      <c r="P715" s="618"/>
      <c r="Q715" s="618"/>
      <c r="R715" s="618"/>
      <c r="S715" s="618"/>
      <c r="T715" s="618"/>
      <c r="U715" s="618"/>
      <c r="Y715" s="619"/>
    </row>
    <row r="716" spans="1:25" x14ac:dyDescent="0.2">
      <c r="A716" s="615"/>
      <c r="B716" s="615"/>
      <c r="C716" s="615"/>
      <c r="D716" s="615"/>
      <c r="E716" s="615"/>
      <c r="F716" s="627"/>
      <c r="G716" s="627"/>
      <c r="H716" s="627"/>
      <c r="I716" s="628"/>
      <c r="J716" s="629"/>
      <c r="K716" s="629"/>
      <c r="L716" s="629"/>
      <c r="M716" s="629"/>
      <c r="N716" s="629"/>
      <c r="O716" s="618"/>
      <c r="P716" s="618"/>
      <c r="Q716" s="618"/>
      <c r="R716" s="618"/>
      <c r="S716" s="618"/>
      <c r="T716" s="618"/>
      <c r="U716" s="618"/>
      <c r="Y716" s="619"/>
    </row>
    <row r="717" spans="1:25" x14ac:dyDescent="0.2">
      <c r="A717" s="615"/>
      <c r="B717" s="615"/>
      <c r="C717" s="615"/>
      <c r="D717" s="615"/>
      <c r="E717" s="615"/>
      <c r="F717" s="627"/>
      <c r="G717" s="627"/>
      <c r="H717" s="627"/>
      <c r="I717" s="628"/>
      <c r="J717" s="629"/>
      <c r="K717" s="629"/>
      <c r="L717" s="629"/>
      <c r="M717" s="629"/>
      <c r="N717" s="629"/>
      <c r="O717" s="618"/>
      <c r="P717" s="618"/>
      <c r="Q717" s="618"/>
      <c r="R717" s="618"/>
      <c r="S717" s="618"/>
      <c r="T717" s="618"/>
      <c r="U717" s="618"/>
      <c r="Y717" s="619"/>
    </row>
    <row r="718" spans="1:25" x14ac:dyDescent="0.2">
      <c r="A718" s="615"/>
      <c r="B718" s="615"/>
      <c r="C718" s="615"/>
      <c r="D718" s="615"/>
      <c r="E718" s="615"/>
      <c r="F718" s="627"/>
      <c r="G718" s="627"/>
      <c r="H718" s="627"/>
      <c r="I718" s="628"/>
      <c r="J718" s="629"/>
      <c r="K718" s="629"/>
      <c r="L718" s="629"/>
      <c r="M718" s="629"/>
      <c r="N718" s="629"/>
      <c r="O718" s="618"/>
      <c r="P718" s="618"/>
      <c r="Q718" s="618"/>
      <c r="R718" s="618"/>
      <c r="S718" s="618"/>
      <c r="T718" s="618"/>
      <c r="U718" s="618"/>
      <c r="Y718" s="619"/>
    </row>
    <row r="719" spans="1:25" x14ac:dyDescent="0.2">
      <c r="A719" s="615"/>
      <c r="B719" s="615"/>
      <c r="C719" s="615"/>
      <c r="D719" s="615"/>
      <c r="E719" s="615"/>
      <c r="F719" s="627"/>
      <c r="G719" s="627"/>
      <c r="H719" s="627"/>
      <c r="I719" s="628"/>
      <c r="J719" s="629"/>
      <c r="K719" s="629"/>
      <c r="L719" s="629"/>
      <c r="M719" s="629"/>
      <c r="N719" s="629"/>
      <c r="O719" s="618"/>
      <c r="P719" s="618"/>
      <c r="Q719" s="618"/>
      <c r="R719" s="618"/>
      <c r="S719" s="618"/>
      <c r="T719" s="618"/>
      <c r="U719" s="618"/>
      <c r="Y719" s="619"/>
    </row>
    <row r="720" spans="1:25" x14ac:dyDescent="0.2">
      <c r="A720" s="615"/>
      <c r="B720" s="615"/>
      <c r="C720" s="615"/>
      <c r="D720" s="615"/>
      <c r="E720" s="615"/>
      <c r="F720" s="627"/>
      <c r="G720" s="627"/>
      <c r="H720" s="627"/>
      <c r="I720" s="628"/>
      <c r="J720" s="629"/>
      <c r="K720" s="629"/>
      <c r="L720" s="629"/>
      <c r="M720" s="629"/>
      <c r="N720" s="629"/>
      <c r="O720" s="618"/>
      <c r="P720" s="618"/>
      <c r="Q720" s="618"/>
      <c r="R720" s="618"/>
      <c r="S720" s="618"/>
      <c r="T720" s="618"/>
      <c r="U720" s="618"/>
      <c r="Y720" s="619"/>
    </row>
    <row r="721" spans="1:25" x14ac:dyDescent="0.2">
      <c r="A721" s="615"/>
      <c r="B721" s="615"/>
      <c r="C721" s="615"/>
      <c r="D721" s="615"/>
      <c r="E721" s="615"/>
      <c r="F721" s="627"/>
      <c r="G721" s="627"/>
      <c r="H721" s="627"/>
      <c r="I721" s="628"/>
      <c r="J721" s="629"/>
      <c r="K721" s="629"/>
      <c r="L721" s="629"/>
      <c r="M721" s="629"/>
      <c r="N721" s="629"/>
      <c r="O721" s="618"/>
      <c r="P721" s="618"/>
      <c r="Q721" s="618"/>
      <c r="R721" s="618"/>
      <c r="S721" s="618"/>
      <c r="T721" s="618"/>
      <c r="U721" s="618"/>
      <c r="Y721" s="619"/>
    </row>
    <row r="722" spans="1:25" x14ac:dyDescent="0.2">
      <c r="A722" s="615"/>
      <c r="B722" s="615"/>
      <c r="C722" s="615"/>
      <c r="D722" s="615"/>
      <c r="E722" s="615"/>
      <c r="F722" s="627"/>
      <c r="G722" s="627"/>
      <c r="H722" s="627"/>
      <c r="I722" s="628"/>
      <c r="J722" s="629"/>
      <c r="K722" s="629"/>
      <c r="L722" s="629"/>
      <c r="M722" s="629"/>
      <c r="N722" s="629"/>
      <c r="O722" s="618"/>
      <c r="P722" s="618"/>
      <c r="Q722" s="618"/>
      <c r="R722" s="618"/>
      <c r="S722" s="618"/>
      <c r="T722" s="618"/>
      <c r="U722" s="618"/>
      <c r="Y722" s="619"/>
    </row>
    <row r="723" spans="1:25" x14ac:dyDescent="0.2">
      <c r="A723" s="615"/>
      <c r="B723" s="615"/>
      <c r="C723" s="615"/>
      <c r="D723" s="615"/>
      <c r="E723" s="615"/>
      <c r="F723" s="627"/>
      <c r="G723" s="627"/>
      <c r="H723" s="627"/>
      <c r="I723" s="628"/>
      <c r="J723" s="629"/>
      <c r="K723" s="629"/>
      <c r="L723" s="629"/>
      <c r="M723" s="629"/>
      <c r="N723" s="629"/>
      <c r="O723" s="618"/>
      <c r="P723" s="618"/>
      <c r="Q723" s="618"/>
      <c r="R723" s="618"/>
      <c r="S723" s="618"/>
      <c r="T723" s="618"/>
      <c r="U723" s="618"/>
      <c r="Y723" s="619"/>
    </row>
    <row r="724" spans="1:25" x14ac:dyDescent="0.2">
      <c r="A724" s="615"/>
      <c r="B724" s="615"/>
      <c r="C724" s="615"/>
      <c r="D724" s="615"/>
      <c r="E724" s="615"/>
      <c r="F724" s="627"/>
      <c r="G724" s="627"/>
      <c r="H724" s="627"/>
      <c r="I724" s="628"/>
      <c r="J724" s="629"/>
      <c r="K724" s="629"/>
      <c r="L724" s="629"/>
      <c r="M724" s="629"/>
      <c r="N724" s="629"/>
      <c r="O724" s="618"/>
      <c r="P724" s="618"/>
      <c r="Q724" s="618"/>
      <c r="R724" s="618"/>
      <c r="S724" s="618"/>
      <c r="T724" s="618"/>
      <c r="U724" s="618"/>
      <c r="Y724" s="619"/>
    </row>
    <row r="725" spans="1:25" x14ac:dyDescent="0.2">
      <c r="A725" s="615"/>
      <c r="B725" s="615"/>
      <c r="C725" s="615"/>
      <c r="D725" s="615"/>
      <c r="E725" s="615"/>
      <c r="F725" s="627"/>
      <c r="G725" s="627"/>
      <c r="H725" s="627"/>
      <c r="I725" s="628"/>
      <c r="J725" s="629"/>
      <c r="K725" s="629"/>
      <c r="L725" s="629"/>
      <c r="M725" s="629"/>
      <c r="N725" s="629"/>
      <c r="O725" s="618"/>
      <c r="P725" s="618"/>
      <c r="Q725" s="618"/>
      <c r="R725" s="618"/>
      <c r="S725" s="618"/>
      <c r="T725" s="618"/>
      <c r="U725" s="618"/>
      <c r="Y725" s="619"/>
    </row>
    <row r="726" spans="1:25" x14ac:dyDescent="0.2">
      <c r="A726" s="615"/>
      <c r="B726" s="615"/>
      <c r="C726" s="615"/>
      <c r="D726" s="615"/>
      <c r="E726" s="615"/>
      <c r="F726" s="627"/>
      <c r="G726" s="627"/>
      <c r="H726" s="627"/>
      <c r="I726" s="628"/>
      <c r="J726" s="629"/>
      <c r="K726" s="629"/>
      <c r="L726" s="629"/>
      <c r="M726" s="629"/>
      <c r="N726" s="629"/>
      <c r="O726" s="618"/>
      <c r="P726" s="618"/>
      <c r="Q726" s="618"/>
      <c r="R726" s="618"/>
      <c r="S726" s="618"/>
      <c r="T726" s="618"/>
      <c r="U726" s="618"/>
      <c r="Y726" s="619"/>
    </row>
    <row r="727" spans="1:25" x14ac:dyDescent="0.2">
      <c r="A727" s="615"/>
      <c r="B727" s="615"/>
      <c r="C727" s="615"/>
      <c r="D727" s="615"/>
      <c r="E727" s="615"/>
      <c r="F727" s="627"/>
      <c r="G727" s="627"/>
      <c r="H727" s="627"/>
      <c r="I727" s="628"/>
      <c r="J727" s="629"/>
      <c r="K727" s="629"/>
      <c r="L727" s="629"/>
      <c r="M727" s="629"/>
      <c r="N727" s="629"/>
      <c r="O727" s="618"/>
      <c r="P727" s="618"/>
      <c r="Q727" s="618"/>
      <c r="R727" s="618"/>
      <c r="S727" s="618"/>
      <c r="T727" s="618"/>
      <c r="U727" s="618"/>
      <c r="Y727" s="619"/>
    </row>
    <row r="728" spans="1:25" x14ac:dyDescent="0.2">
      <c r="A728" s="615"/>
      <c r="B728" s="615"/>
      <c r="C728" s="615"/>
      <c r="D728" s="615"/>
      <c r="E728" s="615"/>
      <c r="F728" s="627"/>
      <c r="G728" s="627"/>
      <c r="H728" s="627"/>
      <c r="I728" s="628"/>
      <c r="J728" s="629"/>
      <c r="K728" s="629"/>
      <c r="L728" s="629"/>
      <c r="M728" s="629"/>
      <c r="N728" s="629"/>
      <c r="O728" s="618"/>
      <c r="P728" s="618"/>
      <c r="Q728" s="618"/>
      <c r="R728" s="618"/>
      <c r="S728" s="618"/>
      <c r="T728" s="618"/>
      <c r="U728" s="618"/>
      <c r="Y728" s="619"/>
    </row>
    <row r="729" spans="1:25" x14ac:dyDescent="0.2">
      <c r="A729" s="615"/>
      <c r="B729" s="615"/>
      <c r="C729" s="615"/>
      <c r="D729" s="615"/>
      <c r="E729" s="615"/>
      <c r="F729" s="627"/>
      <c r="G729" s="627"/>
      <c r="H729" s="627"/>
      <c r="I729" s="628"/>
      <c r="J729" s="629"/>
      <c r="K729" s="629"/>
      <c r="L729" s="629"/>
      <c r="M729" s="629"/>
      <c r="N729" s="629"/>
      <c r="O729" s="618"/>
      <c r="P729" s="618"/>
      <c r="Q729" s="618"/>
      <c r="R729" s="618"/>
      <c r="S729" s="618"/>
      <c r="T729" s="618"/>
      <c r="U729" s="618"/>
      <c r="Y729" s="619"/>
    </row>
    <row r="730" spans="1:25" x14ac:dyDescent="0.2">
      <c r="A730" s="615"/>
      <c r="B730" s="615"/>
      <c r="C730" s="615"/>
      <c r="D730" s="615"/>
      <c r="E730" s="615"/>
      <c r="F730" s="627"/>
      <c r="G730" s="627"/>
      <c r="H730" s="627"/>
      <c r="I730" s="628"/>
      <c r="J730" s="629"/>
      <c r="K730" s="629"/>
      <c r="L730" s="629"/>
      <c r="M730" s="629"/>
      <c r="N730" s="629"/>
      <c r="O730" s="618"/>
      <c r="P730" s="618"/>
      <c r="Q730" s="618"/>
      <c r="R730" s="618"/>
      <c r="S730" s="618"/>
      <c r="T730" s="618"/>
      <c r="U730" s="618"/>
      <c r="Y730" s="619"/>
    </row>
    <row r="731" spans="1:25" x14ac:dyDescent="0.2">
      <c r="A731" s="615"/>
      <c r="B731" s="615"/>
      <c r="C731" s="615"/>
      <c r="D731" s="615"/>
      <c r="E731" s="615"/>
      <c r="F731" s="627"/>
      <c r="G731" s="627"/>
      <c r="H731" s="627"/>
      <c r="I731" s="628"/>
      <c r="J731" s="629"/>
      <c r="K731" s="629"/>
      <c r="L731" s="629"/>
      <c r="M731" s="629"/>
      <c r="N731" s="629"/>
      <c r="O731" s="618"/>
      <c r="P731" s="618"/>
      <c r="Q731" s="618"/>
      <c r="R731" s="618"/>
      <c r="S731" s="618"/>
      <c r="T731" s="618"/>
      <c r="U731" s="618"/>
      <c r="Y731" s="619"/>
    </row>
    <row r="732" spans="1:25" x14ac:dyDescent="0.2">
      <c r="A732" s="615"/>
      <c r="B732" s="615"/>
      <c r="C732" s="615"/>
      <c r="D732" s="615"/>
      <c r="E732" s="615"/>
      <c r="F732" s="627"/>
      <c r="G732" s="627"/>
      <c r="H732" s="627"/>
      <c r="I732" s="628"/>
      <c r="J732" s="629"/>
      <c r="K732" s="629"/>
      <c r="L732" s="629"/>
      <c r="M732" s="629"/>
      <c r="N732" s="629"/>
      <c r="O732" s="618"/>
      <c r="P732" s="618"/>
      <c r="Q732" s="618"/>
      <c r="R732" s="618"/>
      <c r="S732" s="618"/>
      <c r="T732" s="618"/>
      <c r="U732" s="618"/>
      <c r="Y732" s="619"/>
    </row>
    <row r="733" spans="1:25" x14ac:dyDescent="0.2">
      <c r="A733" s="615"/>
      <c r="B733" s="615"/>
      <c r="C733" s="615"/>
      <c r="D733" s="615"/>
      <c r="E733" s="615"/>
      <c r="F733" s="627"/>
      <c r="G733" s="627"/>
      <c r="H733" s="627"/>
      <c r="I733" s="628"/>
      <c r="J733" s="629"/>
      <c r="K733" s="629"/>
      <c r="L733" s="629"/>
      <c r="M733" s="629"/>
      <c r="N733" s="629"/>
      <c r="O733" s="618"/>
      <c r="P733" s="618"/>
      <c r="Q733" s="618"/>
      <c r="R733" s="618"/>
      <c r="S733" s="618"/>
      <c r="T733" s="618"/>
      <c r="U733" s="618"/>
      <c r="Y733" s="619"/>
    </row>
    <row r="734" spans="1:25" x14ac:dyDescent="0.2">
      <c r="A734" s="615"/>
      <c r="B734" s="615"/>
      <c r="C734" s="615"/>
      <c r="D734" s="615"/>
      <c r="E734" s="615"/>
      <c r="F734" s="627"/>
      <c r="G734" s="627"/>
      <c r="H734" s="627"/>
      <c r="I734" s="628"/>
      <c r="J734" s="629"/>
      <c r="K734" s="629"/>
      <c r="L734" s="629"/>
      <c r="M734" s="629"/>
      <c r="N734" s="629"/>
      <c r="O734" s="618"/>
      <c r="P734" s="618"/>
      <c r="Q734" s="618"/>
      <c r="R734" s="618"/>
      <c r="S734" s="618"/>
      <c r="T734" s="618"/>
      <c r="U734" s="618"/>
      <c r="Y734" s="619"/>
    </row>
    <row r="735" spans="1:25" x14ac:dyDescent="0.2">
      <c r="A735" s="615"/>
      <c r="B735" s="615"/>
      <c r="C735" s="615"/>
      <c r="D735" s="615"/>
      <c r="E735" s="615"/>
      <c r="F735" s="627"/>
      <c r="G735" s="627"/>
      <c r="H735" s="627"/>
      <c r="I735" s="628"/>
      <c r="J735" s="629"/>
      <c r="K735" s="629"/>
      <c r="L735" s="629"/>
      <c r="M735" s="629"/>
      <c r="N735" s="629"/>
      <c r="O735" s="618"/>
      <c r="P735" s="618"/>
      <c r="Q735" s="618"/>
      <c r="R735" s="618"/>
      <c r="S735" s="618"/>
      <c r="T735" s="618"/>
      <c r="U735" s="618"/>
      <c r="Y735" s="619"/>
    </row>
    <row r="736" spans="1:25" x14ac:dyDescent="0.2">
      <c r="A736" s="615"/>
      <c r="B736" s="615"/>
      <c r="C736" s="615"/>
      <c r="D736" s="615"/>
      <c r="E736" s="615"/>
      <c r="F736" s="627"/>
      <c r="G736" s="627"/>
      <c r="H736" s="627"/>
      <c r="I736" s="628"/>
      <c r="J736" s="629"/>
      <c r="K736" s="629"/>
      <c r="L736" s="629"/>
      <c r="M736" s="629"/>
      <c r="N736" s="629"/>
      <c r="O736" s="618"/>
      <c r="P736" s="618"/>
      <c r="Q736" s="618"/>
      <c r="R736" s="618"/>
      <c r="S736" s="618"/>
      <c r="T736" s="618"/>
      <c r="U736" s="618"/>
      <c r="Y736" s="619"/>
    </row>
    <row r="737" spans="1:25" x14ac:dyDescent="0.2">
      <c r="A737" s="615"/>
      <c r="B737" s="615"/>
      <c r="C737" s="615"/>
      <c r="D737" s="615"/>
      <c r="E737" s="615"/>
      <c r="F737" s="627"/>
      <c r="G737" s="627"/>
      <c r="H737" s="627"/>
      <c r="I737" s="628"/>
      <c r="J737" s="629"/>
      <c r="K737" s="629"/>
      <c r="L737" s="629"/>
      <c r="M737" s="629"/>
      <c r="N737" s="629"/>
      <c r="O737" s="618"/>
      <c r="P737" s="618"/>
      <c r="Q737" s="618"/>
      <c r="R737" s="618"/>
      <c r="S737" s="618"/>
      <c r="T737" s="618"/>
      <c r="U737" s="618"/>
      <c r="Y737" s="619"/>
    </row>
    <row r="738" spans="1:25" x14ac:dyDescent="0.2">
      <c r="A738" s="615"/>
      <c r="B738" s="615"/>
      <c r="C738" s="615"/>
      <c r="D738" s="615"/>
      <c r="E738" s="615"/>
      <c r="F738" s="627"/>
      <c r="G738" s="627"/>
      <c r="H738" s="627"/>
      <c r="I738" s="628"/>
      <c r="J738" s="629"/>
      <c r="K738" s="629"/>
      <c r="L738" s="629"/>
      <c r="M738" s="629"/>
      <c r="N738" s="629"/>
      <c r="O738" s="618"/>
      <c r="P738" s="618"/>
      <c r="Q738" s="618"/>
      <c r="R738" s="618"/>
      <c r="S738" s="618"/>
      <c r="T738" s="618"/>
      <c r="U738" s="618"/>
      <c r="Y738" s="619"/>
    </row>
    <row r="739" spans="1:25" x14ac:dyDescent="0.2">
      <c r="A739" s="615"/>
      <c r="B739" s="615"/>
      <c r="C739" s="615"/>
      <c r="D739" s="615"/>
      <c r="E739" s="615"/>
      <c r="F739" s="627"/>
      <c r="G739" s="627"/>
      <c r="H739" s="627"/>
      <c r="I739" s="628"/>
      <c r="J739" s="629"/>
      <c r="K739" s="629"/>
      <c r="L739" s="629"/>
      <c r="M739" s="629"/>
      <c r="N739" s="629"/>
      <c r="O739" s="618"/>
      <c r="P739" s="618"/>
      <c r="Q739" s="618"/>
      <c r="R739" s="618"/>
      <c r="S739" s="618"/>
      <c r="T739" s="618"/>
      <c r="U739" s="618"/>
      <c r="Y739" s="619"/>
    </row>
    <row r="740" spans="1:25" x14ac:dyDescent="0.2">
      <c r="A740" s="615"/>
      <c r="B740" s="615"/>
      <c r="C740" s="615"/>
      <c r="D740" s="615"/>
      <c r="E740" s="615"/>
      <c r="F740" s="627"/>
      <c r="G740" s="627"/>
      <c r="H740" s="627"/>
      <c r="I740" s="628"/>
      <c r="J740" s="629"/>
      <c r="K740" s="629"/>
      <c r="L740" s="629"/>
      <c r="M740" s="629"/>
      <c r="N740" s="629"/>
      <c r="O740" s="618"/>
      <c r="P740" s="618"/>
      <c r="Q740" s="618"/>
      <c r="R740" s="618"/>
      <c r="S740" s="618"/>
      <c r="T740" s="618"/>
      <c r="U740" s="618"/>
      <c r="Y740" s="619"/>
    </row>
    <row r="741" spans="1:25" x14ac:dyDescent="0.2">
      <c r="A741" s="615"/>
      <c r="B741" s="615"/>
      <c r="C741" s="615"/>
      <c r="D741" s="615"/>
      <c r="E741" s="615"/>
      <c r="F741" s="627"/>
      <c r="G741" s="627"/>
      <c r="H741" s="627"/>
      <c r="I741" s="628"/>
      <c r="J741" s="629"/>
      <c r="K741" s="629"/>
      <c r="L741" s="629"/>
      <c r="M741" s="629"/>
      <c r="N741" s="629"/>
      <c r="O741" s="618"/>
      <c r="P741" s="618"/>
      <c r="Q741" s="618"/>
      <c r="R741" s="618"/>
      <c r="S741" s="618"/>
      <c r="T741" s="618"/>
      <c r="U741" s="618"/>
      <c r="Y741" s="619"/>
    </row>
    <row r="742" spans="1:25" x14ac:dyDescent="0.2">
      <c r="A742" s="615"/>
      <c r="B742" s="615"/>
      <c r="C742" s="615"/>
      <c r="D742" s="615"/>
      <c r="E742" s="615"/>
      <c r="F742" s="627"/>
      <c r="G742" s="627"/>
      <c r="H742" s="627"/>
      <c r="I742" s="628"/>
      <c r="J742" s="629"/>
      <c r="K742" s="629"/>
      <c r="L742" s="629"/>
      <c r="M742" s="629"/>
      <c r="N742" s="629"/>
      <c r="O742" s="618"/>
      <c r="P742" s="618"/>
      <c r="Q742" s="618"/>
      <c r="R742" s="618"/>
      <c r="S742" s="618"/>
      <c r="T742" s="618"/>
      <c r="U742" s="618"/>
      <c r="Y742" s="619"/>
    </row>
    <row r="743" spans="1:25" x14ac:dyDescent="0.2">
      <c r="A743" s="615"/>
      <c r="B743" s="615"/>
      <c r="C743" s="615"/>
      <c r="D743" s="615"/>
      <c r="E743" s="615"/>
      <c r="F743" s="627"/>
      <c r="G743" s="627"/>
      <c r="H743" s="627"/>
      <c r="I743" s="628"/>
      <c r="J743" s="629"/>
      <c r="K743" s="629"/>
      <c r="L743" s="629"/>
      <c r="M743" s="629"/>
      <c r="N743" s="629"/>
      <c r="O743" s="618"/>
      <c r="P743" s="618"/>
      <c r="Q743" s="618"/>
      <c r="R743" s="618"/>
      <c r="S743" s="618"/>
      <c r="T743" s="618"/>
      <c r="U743" s="618"/>
      <c r="Y743" s="619"/>
    </row>
    <row r="744" spans="1:25" x14ac:dyDescent="0.2">
      <c r="A744" s="615"/>
      <c r="B744" s="615"/>
      <c r="C744" s="615"/>
      <c r="D744" s="615"/>
      <c r="E744" s="615"/>
      <c r="F744" s="627"/>
      <c r="G744" s="627"/>
      <c r="H744" s="627"/>
      <c r="I744" s="628"/>
      <c r="J744" s="629"/>
      <c r="K744" s="629"/>
      <c r="L744" s="629"/>
      <c r="M744" s="629"/>
      <c r="N744" s="629"/>
      <c r="O744" s="618"/>
      <c r="P744" s="618"/>
      <c r="Q744" s="618"/>
      <c r="R744" s="618"/>
      <c r="S744" s="618"/>
      <c r="T744" s="618"/>
      <c r="U744" s="618"/>
      <c r="Y744" s="619"/>
    </row>
    <row r="745" spans="1:25" x14ac:dyDescent="0.2">
      <c r="A745" s="615"/>
      <c r="B745" s="615"/>
      <c r="C745" s="615"/>
      <c r="D745" s="615"/>
      <c r="E745" s="615"/>
      <c r="F745" s="627"/>
      <c r="G745" s="627"/>
      <c r="H745" s="627"/>
      <c r="I745" s="628"/>
      <c r="J745" s="629"/>
      <c r="K745" s="629"/>
      <c r="L745" s="629"/>
      <c r="M745" s="629"/>
      <c r="N745" s="629"/>
      <c r="O745" s="618"/>
      <c r="P745" s="618"/>
      <c r="Q745" s="618"/>
      <c r="R745" s="618"/>
      <c r="S745" s="618"/>
      <c r="T745" s="618"/>
      <c r="U745" s="618"/>
      <c r="Y745" s="619"/>
    </row>
    <row r="746" spans="1:25" x14ac:dyDescent="0.2">
      <c r="A746" s="615"/>
      <c r="B746" s="615"/>
      <c r="C746" s="615"/>
      <c r="D746" s="615"/>
      <c r="E746" s="615"/>
      <c r="F746" s="627"/>
      <c r="G746" s="627"/>
      <c r="H746" s="627"/>
      <c r="I746" s="628"/>
      <c r="J746" s="629"/>
      <c r="K746" s="629"/>
      <c r="L746" s="629"/>
      <c r="M746" s="629"/>
      <c r="N746" s="629"/>
      <c r="O746" s="618"/>
      <c r="P746" s="618"/>
      <c r="Q746" s="618"/>
      <c r="R746" s="618"/>
      <c r="S746" s="618"/>
      <c r="T746" s="618"/>
      <c r="U746" s="618"/>
      <c r="Y746" s="619"/>
    </row>
    <row r="747" spans="1:25" x14ac:dyDescent="0.2">
      <c r="A747" s="615"/>
      <c r="B747" s="615"/>
      <c r="C747" s="615"/>
      <c r="D747" s="615"/>
      <c r="E747" s="615"/>
      <c r="F747" s="627"/>
      <c r="G747" s="627"/>
      <c r="H747" s="627"/>
      <c r="I747" s="628"/>
      <c r="J747" s="629"/>
      <c r="K747" s="629"/>
      <c r="L747" s="629"/>
      <c r="M747" s="629"/>
      <c r="N747" s="629"/>
      <c r="O747" s="618"/>
      <c r="P747" s="618"/>
      <c r="Q747" s="618"/>
      <c r="R747" s="618"/>
      <c r="S747" s="618"/>
      <c r="T747" s="618"/>
      <c r="U747" s="618"/>
      <c r="Y747" s="619"/>
    </row>
    <row r="748" spans="1:25" x14ac:dyDescent="0.2">
      <c r="A748" s="615"/>
      <c r="B748" s="615"/>
      <c r="C748" s="615"/>
      <c r="D748" s="615"/>
      <c r="E748" s="615"/>
      <c r="F748" s="627"/>
      <c r="G748" s="627"/>
      <c r="H748" s="627"/>
      <c r="I748" s="628"/>
      <c r="J748" s="629"/>
      <c r="K748" s="629"/>
      <c r="L748" s="629"/>
      <c r="M748" s="629"/>
      <c r="N748" s="629"/>
      <c r="O748" s="618"/>
      <c r="P748" s="618"/>
      <c r="Q748" s="618"/>
      <c r="R748" s="618"/>
      <c r="S748" s="618"/>
      <c r="T748" s="618"/>
      <c r="U748" s="618"/>
      <c r="Y748" s="619"/>
    </row>
    <row r="749" spans="1:25" x14ac:dyDescent="0.2">
      <c r="A749" s="615"/>
      <c r="B749" s="615"/>
      <c r="C749" s="615"/>
      <c r="D749" s="615"/>
      <c r="E749" s="615"/>
      <c r="F749" s="627"/>
      <c r="G749" s="627"/>
      <c r="H749" s="627"/>
      <c r="I749" s="628"/>
      <c r="J749" s="629"/>
      <c r="K749" s="629"/>
      <c r="L749" s="629"/>
      <c r="M749" s="629"/>
      <c r="N749" s="629"/>
      <c r="O749" s="618"/>
      <c r="P749" s="618"/>
      <c r="Q749" s="618"/>
      <c r="R749" s="618"/>
      <c r="S749" s="618"/>
      <c r="T749" s="618"/>
      <c r="U749" s="618"/>
      <c r="Y749" s="619"/>
    </row>
    <row r="750" spans="1:25" x14ac:dyDescent="0.2">
      <c r="A750" s="615"/>
      <c r="B750" s="615"/>
      <c r="C750" s="615"/>
      <c r="D750" s="615"/>
      <c r="E750" s="615"/>
      <c r="F750" s="627"/>
      <c r="G750" s="627"/>
      <c r="H750" s="627"/>
      <c r="I750" s="628"/>
      <c r="J750" s="629"/>
      <c r="K750" s="629"/>
      <c r="L750" s="629"/>
      <c r="M750" s="629"/>
      <c r="N750" s="629"/>
      <c r="O750" s="618"/>
      <c r="P750" s="618"/>
      <c r="Q750" s="618"/>
      <c r="R750" s="618"/>
      <c r="S750" s="618"/>
      <c r="T750" s="618"/>
      <c r="U750" s="618"/>
      <c r="Y750" s="619"/>
    </row>
    <row r="751" spans="1:25" x14ac:dyDescent="0.2">
      <c r="A751" s="615"/>
      <c r="B751" s="615"/>
      <c r="C751" s="615"/>
      <c r="D751" s="615"/>
      <c r="E751" s="615"/>
      <c r="F751" s="627"/>
      <c r="G751" s="627"/>
      <c r="H751" s="627"/>
      <c r="I751" s="628"/>
      <c r="J751" s="629"/>
      <c r="K751" s="629"/>
      <c r="L751" s="629"/>
      <c r="M751" s="629"/>
      <c r="N751" s="629"/>
      <c r="O751" s="618"/>
      <c r="P751" s="618"/>
      <c r="Q751" s="618"/>
      <c r="R751" s="618"/>
      <c r="S751" s="618"/>
      <c r="T751" s="618"/>
      <c r="U751" s="618"/>
      <c r="Y751" s="619"/>
    </row>
    <row r="752" spans="1:25" x14ac:dyDescent="0.2">
      <c r="A752" s="615"/>
      <c r="B752" s="615"/>
      <c r="C752" s="615"/>
      <c r="D752" s="615"/>
      <c r="E752" s="615"/>
      <c r="F752" s="627"/>
      <c r="G752" s="627"/>
      <c r="H752" s="627"/>
      <c r="I752" s="628"/>
      <c r="J752" s="629"/>
      <c r="K752" s="629"/>
      <c r="L752" s="629"/>
      <c r="M752" s="629"/>
      <c r="N752" s="629"/>
      <c r="O752" s="618"/>
      <c r="P752" s="618"/>
      <c r="Q752" s="618"/>
      <c r="R752" s="618"/>
      <c r="S752" s="618"/>
      <c r="T752" s="618"/>
      <c r="U752" s="618"/>
      <c r="Y752" s="619"/>
    </row>
    <row r="753" spans="1:25" x14ac:dyDescent="0.2">
      <c r="A753" s="615"/>
      <c r="B753" s="615"/>
      <c r="C753" s="615"/>
      <c r="D753" s="615"/>
      <c r="E753" s="615"/>
      <c r="F753" s="627"/>
      <c r="G753" s="627"/>
      <c r="H753" s="627"/>
      <c r="I753" s="628"/>
      <c r="J753" s="629"/>
      <c r="K753" s="629"/>
      <c r="L753" s="629"/>
      <c r="M753" s="629"/>
      <c r="N753" s="629"/>
      <c r="O753" s="618"/>
      <c r="P753" s="618"/>
      <c r="Q753" s="618"/>
      <c r="R753" s="618"/>
      <c r="S753" s="618"/>
      <c r="T753" s="618"/>
      <c r="U753" s="618"/>
      <c r="Y753" s="619"/>
    </row>
    <row r="754" spans="1:25" x14ac:dyDescent="0.2">
      <c r="A754" s="615"/>
      <c r="B754" s="615"/>
      <c r="C754" s="615"/>
      <c r="D754" s="615"/>
      <c r="E754" s="615"/>
      <c r="F754" s="627"/>
      <c r="G754" s="627"/>
      <c r="H754" s="627"/>
      <c r="I754" s="628"/>
      <c r="J754" s="629"/>
      <c r="K754" s="629"/>
      <c r="L754" s="629"/>
      <c r="M754" s="629"/>
      <c r="N754" s="629"/>
      <c r="O754" s="618"/>
      <c r="P754" s="618"/>
      <c r="Q754" s="618"/>
      <c r="R754" s="618"/>
      <c r="S754" s="618"/>
      <c r="T754" s="618"/>
      <c r="U754" s="618"/>
      <c r="Y754" s="619"/>
    </row>
    <row r="755" spans="1:25" x14ac:dyDescent="0.2">
      <c r="A755" s="615"/>
      <c r="B755" s="615"/>
      <c r="C755" s="615"/>
      <c r="D755" s="615"/>
      <c r="E755" s="615"/>
      <c r="F755" s="627"/>
      <c r="G755" s="627"/>
      <c r="H755" s="627"/>
      <c r="I755" s="628"/>
      <c r="J755" s="629"/>
      <c r="K755" s="629"/>
      <c r="L755" s="629"/>
      <c r="M755" s="629"/>
      <c r="N755" s="629"/>
      <c r="O755" s="618"/>
      <c r="P755" s="618"/>
      <c r="Q755" s="618"/>
      <c r="R755" s="618"/>
      <c r="S755" s="618"/>
      <c r="T755" s="618"/>
      <c r="U755" s="618"/>
      <c r="Y755" s="619"/>
    </row>
    <row r="756" spans="1:25" x14ac:dyDescent="0.2">
      <c r="A756" s="615"/>
      <c r="B756" s="615"/>
      <c r="C756" s="615"/>
      <c r="D756" s="615"/>
      <c r="E756" s="615"/>
      <c r="F756" s="627"/>
      <c r="G756" s="627"/>
      <c r="H756" s="627"/>
      <c r="I756" s="628"/>
      <c r="J756" s="629"/>
      <c r="K756" s="629"/>
      <c r="L756" s="629"/>
      <c r="M756" s="629"/>
      <c r="N756" s="629"/>
      <c r="O756" s="618"/>
      <c r="P756" s="618"/>
      <c r="Q756" s="618"/>
      <c r="R756" s="618"/>
      <c r="S756" s="618"/>
      <c r="T756" s="618"/>
      <c r="U756" s="618"/>
      <c r="Y756" s="619"/>
    </row>
    <row r="757" spans="1:25" x14ac:dyDescent="0.2">
      <c r="A757" s="615"/>
      <c r="B757" s="615"/>
      <c r="C757" s="615"/>
      <c r="D757" s="615"/>
      <c r="E757" s="615"/>
      <c r="F757" s="627"/>
      <c r="G757" s="627"/>
      <c r="H757" s="627"/>
      <c r="I757" s="628"/>
      <c r="J757" s="629"/>
      <c r="K757" s="629"/>
      <c r="L757" s="629"/>
      <c r="M757" s="629"/>
      <c r="N757" s="629"/>
      <c r="O757" s="618"/>
      <c r="P757" s="618"/>
      <c r="Q757" s="618"/>
      <c r="R757" s="618"/>
      <c r="S757" s="618"/>
      <c r="T757" s="618"/>
      <c r="U757" s="618"/>
      <c r="Y757" s="619"/>
    </row>
    <row r="758" spans="1:25" x14ac:dyDescent="0.2">
      <c r="A758" s="615"/>
      <c r="B758" s="615"/>
      <c r="C758" s="615"/>
      <c r="D758" s="615"/>
      <c r="E758" s="615"/>
      <c r="F758" s="627"/>
      <c r="G758" s="627"/>
      <c r="H758" s="627"/>
      <c r="I758" s="628"/>
      <c r="J758" s="629"/>
      <c r="K758" s="629"/>
      <c r="L758" s="629"/>
      <c r="M758" s="629"/>
      <c r="N758" s="629"/>
      <c r="O758" s="618"/>
      <c r="P758" s="618"/>
      <c r="Q758" s="618"/>
      <c r="R758" s="618"/>
      <c r="S758" s="618"/>
      <c r="T758" s="618"/>
      <c r="U758" s="618"/>
      <c r="Y758" s="619"/>
    </row>
    <row r="759" spans="1:25" x14ac:dyDescent="0.2">
      <c r="A759" s="615"/>
      <c r="B759" s="615"/>
      <c r="C759" s="615"/>
      <c r="D759" s="615"/>
      <c r="E759" s="615"/>
      <c r="F759" s="627"/>
      <c r="G759" s="627"/>
      <c r="H759" s="627"/>
      <c r="I759" s="628"/>
      <c r="J759" s="629"/>
      <c r="K759" s="629"/>
      <c r="L759" s="629"/>
      <c r="M759" s="629"/>
      <c r="N759" s="629"/>
      <c r="O759" s="618"/>
      <c r="P759" s="618"/>
      <c r="Q759" s="618"/>
      <c r="R759" s="618"/>
      <c r="S759" s="618"/>
      <c r="T759" s="618"/>
      <c r="U759" s="618"/>
      <c r="Y759" s="619"/>
    </row>
    <row r="760" spans="1:25" x14ac:dyDescent="0.2">
      <c r="A760" s="615"/>
      <c r="B760" s="615"/>
      <c r="C760" s="615"/>
      <c r="D760" s="615"/>
      <c r="E760" s="615"/>
      <c r="F760" s="627"/>
      <c r="G760" s="627"/>
      <c r="H760" s="627"/>
      <c r="I760" s="628"/>
      <c r="J760" s="629"/>
      <c r="K760" s="629"/>
      <c r="L760" s="629"/>
      <c r="M760" s="629"/>
      <c r="N760" s="629"/>
      <c r="O760" s="618"/>
      <c r="P760" s="618"/>
      <c r="Q760" s="618"/>
      <c r="R760" s="618"/>
      <c r="S760" s="618"/>
      <c r="T760" s="618"/>
      <c r="U760" s="618"/>
      <c r="Y760" s="619"/>
    </row>
    <row r="761" spans="1:25" x14ac:dyDescent="0.2">
      <c r="A761" s="615"/>
      <c r="B761" s="615"/>
      <c r="C761" s="615"/>
      <c r="D761" s="615"/>
      <c r="E761" s="615"/>
      <c r="F761" s="627"/>
      <c r="G761" s="627"/>
      <c r="H761" s="627"/>
      <c r="I761" s="628"/>
      <c r="J761" s="629"/>
      <c r="K761" s="629"/>
      <c r="L761" s="629"/>
      <c r="M761" s="629"/>
      <c r="N761" s="629"/>
      <c r="O761" s="618"/>
      <c r="P761" s="618"/>
      <c r="Q761" s="618"/>
      <c r="R761" s="618"/>
      <c r="S761" s="618"/>
      <c r="T761" s="618"/>
      <c r="U761" s="618"/>
      <c r="Y761" s="619"/>
    </row>
    <row r="762" spans="1:25" x14ac:dyDescent="0.2">
      <c r="A762" s="615"/>
      <c r="B762" s="615"/>
      <c r="C762" s="615"/>
      <c r="D762" s="615"/>
      <c r="E762" s="615"/>
      <c r="F762" s="627"/>
      <c r="G762" s="627"/>
      <c r="H762" s="627"/>
      <c r="I762" s="628"/>
      <c r="J762" s="629"/>
      <c r="K762" s="629"/>
      <c r="L762" s="629"/>
      <c r="M762" s="629"/>
      <c r="N762" s="629"/>
      <c r="O762" s="618"/>
      <c r="P762" s="618"/>
      <c r="Q762" s="618"/>
      <c r="R762" s="618"/>
      <c r="S762" s="618"/>
      <c r="T762" s="618"/>
      <c r="U762" s="618"/>
      <c r="Y762" s="619"/>
    </row>
    <row r="763" spans="1:25" x14ac:dyDescent="0.2">
      <c r="A763" s="615"/>
      <c r="B763" s="615"/>
      <c r="C763" s="615"/>
      <c r="D763" s="615"/>
      <c r="E763" s="615"/>
      <c r="F763" s="627"/>
      <c r="G763" s="627"/>
      <c r="H763" s="627"/>
      <c r="I763" s="628"/>
      <c r="J763" s="629"/>
      <c r="K763" s="629"/>
      <c r="L763" s="629"/>
      <c r="M763" s="629"/>
      <c r="N763" s="629"/>
      <c r="O763" s="618"/>
      <c r="P763" s="618"/>
      <c r="Q763" s="618"/>
      <c r="R763" s="618"/>
      <c r="S763" s="618"/>
      <c r="T763" s="618"/>
      <c r="U763" s="618"/>
      <c r="Y763" s="619"/>
    </row>
    <row r="764" spans="1:25" x14ac:dyDescent="0.2">
      <c r="A764" s="615"/>
      <c r="B764" s="615"/>
      <c r="C764" s="615"/>
      <c r="D764" s="615"/>
      <c r="E764" s="615"/>
      <c r="F764" s="627"/>
      <c r="G764" s="627"/>
      <c r="H764" s="627"/>
      <c r="I764" s="628"/>
      <c r="J764" s="629"/>
      <c r="K764" s="629"/>
      <c r="L764" s="629"/>
      <c r="M764" s="629"/>
      <c r="N764" s="629"/>
      <c r="O764" s="618"/>
      <c r="P764" s="618"/>
      <c r="Q764" s="618"/>
      <c r="R764" s="618"/>
      <c r="S764" s="618"/>
      <c r="T764" s="618"/>
      <c r="U764" s="618"/>
      <c r="Y764" s="619"/>
    </row>
    <row r="765" spans="1:25" x14ac:dyDescent="0.2">
      <c r="A765" s="615"/>
      <c r="B765" s="615"/>
      <c r="C765" s="615"/>
      <c r="D765" s="615"/>
      <c r="E765" s="615"/>
      <c r="F765" s="627"/>
      <c r="G765" s="627"/>
      <c r="H765" s="627"/>
      <c r="I765" s="628"/>
      <c r="J765" s="629"/>
      <c r="K765" s="629"/>
      <c r="L765" s="629"/>
      <c r="M765" s="629"/>
      <c r="N765" s="629"/>
      <c r="O765" s="618"/>
      <c r="P765" s="618"/>
      <c r="Q765" s="618"/>
      <c r="R765" s="618"/>
      <c r="S765" s="618"/>
      <c r="T765" s="618"/>
      <c r="U765" s="618"/>
      <c r="Y765" s="619"/>
    </row>
    <row r="766" spans="1:25" x14ac:dyDescent="0.2">
      <c r="A766" s="615"/>
      <c r="B766" s="615"/>
      <c r="C766" s="615"/>
      <c r="D766" s="615"/>
      <c r="E766" s="615"/>
      <c r="F766" s="627"/>
      <c r="G766" s="627"/>
      <c r="H766" s="627"/>
      <c r="I766" s="628"/>
      <c r="J766" s="629"/>
      <c r="K766" s="629"/>
      <c r="L766" s="629"/>
      <c r="M766" s="629"/>
      <c r="N766" s="629"/>
      <c r="O766" s="618"/>
      <c r="P766" s="618"/>
      <c r="Q766" s="618"/>
      <c r="R766" s="618"/>
      <c r="S766" s="618"/>
      <c r="T766" s="618"/>
      <c r="U766" s="618"/>
      <c r="Y766" s="619"/>
    </row>
    <row r="767" spans="1:25" x14ac:dyDescent="0.2">
      <c r="A767" s="615"/>
      <c r="B767" s="615"/>
      <c r="C767" s="615"/>
      <c r="D767" s="615"/>
      <c r="E767" s="615"/>
      <c r="F767" s="627"/>
      <c r="G767" s="627"/>
      <c r="H767" s="627"/>
      <c r="I767" s="628"/>
      <c r="J767" s="629"/>
      <c r="K767" s="629"/>
      <c r="L767" s="629"/>
      <c r="M767" s="629"/>
      <c r="N767" s="629"/>
      <c r="O767" s="618"/>
      <c r="P767" s="618"/>
      <c r="Q767" s="618"/>
      <c r="R767" s="618"/>
      <c r="S767" s="618"/>
      <c r="T767" s="618"/>
      <c r="U767" s="618"/>
      <c r="Y767" s="619"/>
    </row>
    <row r="768" spans="1:25" x14ac:dyDescent="0.2">
      <c r="A768" s="615"/>
      <c r="B768" s="615"/>
      <c r="C768" s="615"/>
      <c r="D768" s="615"/>
      <c r="E768" s="615"/>
      <c r="F768" s="627"/>
      <c r="G768" s="627"/>
      <c r="H768" s="627"/>
      <c r="I768" s="628"/>
      <c r="J768" s="629"/>
      <c r="K768" s="629"/>
      <c r="L768" s="629"/>
      <c r="M768" s="629"/>
      <c r="N768" s="629"/>
      <c r="O768" s="618"/>
      <c r="P768" s="618"/>
      <c r="Q768" s="618"/>
      <c r="R768" s="618"/>
      <c r="S768" s="618"/>
      <c r="T768" s="618"/>
      <c r="U768" s="618"/>
      <c r="Y768" s="619"/>
    </row>
    <row r="769" spans="1:25" x14ac:dyDescent="0.2">
      <c r="A769" s="615"/>
      <c r="B769" s="615"/>
      <c r="C769" s="615"/>
      <c r="D769" s="615"/>
      <c r="E769" s="615"/>
      <c r="F769" s="627"/>
      <c r="G769" s="627"/>
      <c r="H769" s="627"/>
      <c r="I769" s="628"/>
      <c r="J769" s="629"/>
      <c r="K769" s="629"/>
      <c r="L769" s="629"/>
      <c r="M769" s="629"/>
      <c r="N769" s="629"/>
      <c r="O769" s="618"/>
      <c r="P769" s="618"/>
      <c r="Q769" s="618"/>
      <c r="R769" s="618"/>
      <c r="S769" s="618"/>
      <c r="T769" s="618"/>
      <c r="U769" s="618"/>
      <c r="Y769" s="619"/>
    </row>
    <row r="770" spans="1:25" x14ac:dyDescent="0.2">
      <c r="A770" s="615"/>
      <c r="B770" s="615"/>
      <c r="C770" s="615"/>
      <c r="D770" s="615"/>
      <c r="E770" s="615"/>
      <c r="F770" s="627"/>
      <c r="G770" s="627"/>
      <c r="H770" s="627"/>
      <c r="I770" s="628"/>
      <c r="J770" s="629"/>
      <c r="K770" s="629"/>
      <c r="L770" s="629"/>
      <c r="M770" s="629"/>
      <c r="N770" s="629"/>
      <c r="O770" s="618"/>
      <c r="P770" s="618"/>
      <c r="Q770" s="618"/>
      <c r="R770" s="618"/>
      <c r="S770" s="618"/>
      <c r="T770" s="618"/>
      <c r="U770" s="618"/>
      <c r="Y770" s="619"/>
    </row>
    <row r="771" spans="1:25" x14ac:dyDescent="0.2">
      <c r="A771" s="615"/>
      <c r="B771" s="615"/>
      <c r="C771" s="615"/>
      <c r="D771" s="615"/>
      <c r="E771" s="615"/>
      <c r="F771" s="627"/>
      <c r="G771" s="627"/>
      <c r="H771" s="627"/>
      <c r="I771" s="628"/>
      <c r="J771" s="629"/>
      <c r="K771" s="629"/>
      <c r="L771" s="629"/>
      <c r="M771" s="629"/>
      <c r="N771" s="629"/>
      <c r="O771" s="618"/>
      <c r="P771" s="618"/>
      <c r="Q771" s="618"/>
      <c r="R771" s="618"/>
      <c r="S771" s="618"/>
      <c r="T771" s="618"/>
      <c r="U771" s="618"/>
      <c r="Y771" s="619"/>
    </row>
    <row r="772" spans="1:25" x14ac:dyDescent="0.2">
      <c r="A772" s="615"/>
      <c r="B772" s="615"/>
      <c r="C772" s="615"/>
      <c r="D772" s="615"/>
      <c r="E772" s="615"/>
      <c r="F772" s="627"/>
      <c r="G772" s="627"/>
      <c r="H772" s="627"/>
      <c r="I772" s="628"/>
      <c r="J772" s="629"/>
      <c r="K772" s="629"/>
      <c r="L772" s="629"/>
      <c r="M772" s="629"/>
      <c r="N772" s="629"/>
      <c r="O772" s="618"/>
      <c r="P772" s="618"/>
      <c r="Q772" s="618"/>
      <c r="R772" s="618"/>
      <c r="S772" s="618"/>
      <c r="T772" s="618"/>
      <c r="U772" s="618"/>
      <c r="Y772" s="619"/>
    </row>
    <row r="773" spans="1:25" x14ac:dyDescent="0.2">
      <c r="A773" s="615"/>
      <c r="B773" s="615"/>
      <c r="C773" s="615"/>
      <c r="D773" s="615"/>
      <c r="E773" s="615"/>
      <c r="F773" s="627"/>
      <c r="G773" s="627"/>
      <c r="H773" s="627"/>
      <c r="I773" s="628"/>
      <c r="J773" s="629"/>
      <c r="K773" s="629"/>
      <c r="L773" s="629"/>
      <c r="M773" s="629"/>
      <c r="N773" s="629"/>
      <c r="O773" s="618"/>
      <c r="P773" s="618"/>
      <c r="Q773" s="618"/>
      <c r="R773" s="618"/>
      <c r="S773" s="618"/>
      <c r="T773" s="618"/>
      <c r="U773" s="618"/>
      <c r="Y773" s="619"/>
    </row>
    <row r="774" spans="1:25" x14ac:dyDescent="0.2">
      <c r="A774" s="615"/>
      <c r="B774" s="615"/>
      <c r="C774" s="615"/>
      <c r="D774" s="615"/>
      <c r="E774" s="615"/>
      <c r="F774" s="627"/>
      <c r="G774" s="627"/>
      <c r="H774" s="627"/>
      <c r="I774" s="628"/>
      <c r="J774" s="629"/>
      <c r="K774" s="629"/>
      <c r="L774" s="629"/>
      <c r="M774" s="629"/>
      <c r="N774" s="629"/>
      <c r="O774" s="618"/>
      <c r="P774" s="618"/>
      <c r="Q774" s="618"/>
      <c r="R774" s="618"/>
      <c r="S774" s="618"/>
      <c r="T774" s="618"/>
      <c r="U774" s="618"/>
      <c r="Y774" s="619"/>
    </row>
    <row r="775" spans="1:25" x14ac:dyDescent="0.2">
      <c r="A775" s="615"/>
      <c r="B775" s="615"/>
      <c r="C775" s="615"/>
      <c r="D775" s="615"/>
      <c r="E775" s="615"/>
      <c r="F775" s="627"/>
      <c r="G775" s="627"/>
      <c r="H775" s="627"/>
      <c r="I775" s="628"/>
      <c r="J775" s="629"/>
      <c r="K775" s="629"/>
      <c r="L775" s="629"/>
      <c r="M775" s="629"/>
      <c r="N775" s="629"/>
      <c r="O775" s="618"/>
      <c r="P775" s="618"/>
      <c r="Q775" s="618"/>
      <c r="R775" s="618"/>
      <c r="S775" s="618"/>
      <c r="T775" s="618"/>
      <c r="U775" s="618"/>
      <c r="Y775" s="619"/>
    </row>
    <row r="776" spans="1:25" x14ac:dyDescent="0.2">
      <c r="A776" s="615"/>
      <c r="B776" s="615"/>
      <c r="C776" s="615"/>
      <c r="D776" s="615"/>
      <c r="E776" s="615"/>
      <c r="F776" s="627"/>
      <c r="G776" s="627"/>
      <c r="H776" s="627"/>
      <c r="I776" s="628"/>
      <c r="J776" s="629"/>
      <c r="K776" s="629"/>
      <c r="L776" s="629"/>
      <c r="M776" s="629"/>
      <c r="N776" s="629"/>
      <c r="O776" s="618"/>
      <c r="P776" s="618"/>
      <c r="Q776" s="618"/>
      <c r="R776" s="618"/>
      <c r="S776" s="618"/>
      <c r="T776" s="618"/>
      <c r="U776" s="618"/>
      <c r="Y776" s="619"/>
    </row>
    <row r="777" spans="1:25" x14ac:dyDescent="0.2">
      <c r="A777" s="615"/>
      <c r="B777" s="615"/>
      <c r="C777" s="615"/>
      <c r="D777" s="615"/>
      <c r="E777" s="615"/>
      <c r="F777" s="627"/>
      <c r="G777" s="627"/>
      <c r="H777" s="627"/>
      <c r="I777" s="628"/>
      <c r="J777" s="629"/>
      <c r="K777" s="629"/>
      <c r="L777" s="629"/>
      <c r="M777" s="629"/>
      <c r="N777" s="629"/>
      <c r="O777" s="618"/>
      <c r="P777" s="618"/>
      <c r="Q777" s="618"/>
      <c r="R777" s="618"/>
      <c r="S777" s="618"/>
      <c r="T777" s="618"/>
      <c r="U777" s="618"/>
      <c r="Y777" s="619"/>
    </row>
    <row r="778" spans="1:25" x14ac:dyDescent="0.2">
      <c r="A778" s="615"/>
      <c r="B778" s="615"/>
      <c r="C778" s="615"/>
      <c r="D778" s="615"/>
      <c r="E778" s="615"/>
      <c r="F778" s="627"/>
      <c r="G778" s="627"/>
      <c r="H778" s="627"/>
      <c r="I778" s="628"/>
      <c r="J778" s="629"/>
      <c r="K778" s="629"/>
      <c r="L778" s="629"/>
      <c r="M778" s="629"/>
      <c r="N778" s="629"/>
      <c r="O778" s="618"/>
      <c r="P778" s="618"/>
      <c r="Q778" s="618"/>
      <c r="R778" s="618"/>
      <c r="S778" s="618"/>
      <c r="T778" s="618"/>
      <c r="U778" s="618"/>
      <c r="Y778" s="619"/>
    </row>
    <row r="779" spans="1:25" x14ac:dyDescent="0.2">
      <c r="A779" s="615"/>
      <c r="B779" s="615"/>
      <c r="C779" s="615"/>
      <c r="D779" s="615"/>
      <c r="E779" s="615"/>
      <c r="F779" s="627"/>
      <c r="G779" s="627"/>
      <c r="H779" s="627"/>
      <c r="I779" s="628"/>
      <c r="J779" s="629"/>
      <c r="K779" s="629"/>
      <c r="L779" s="629"/>
      <c r="M779" s="629"/>
      <c r="N779" s="629"/>
      <c r="O779" s="618"/>
      <c r="P779" s="618"/>
      <c r="Q779" s="618"/>
      <c r="R779" s="618"/>
      <c r="S779" s="618"/>
      <c r="T779" s="618"/>
      <c r="U779" s="618"/>
      <c r="Y779" s="619"/>
    </row>
    <row r="780" spans="1:25" x14ac:dyDescent="0.2">
      <c r="A780" s="615"/>
      <c r="B780" s="615"/>
      <c r="C780" s="615"/>
      <c r="D780" s="615"/>
      <c r="E780" s="615"/>
      <c r="F780" s="627"/>
      <c r="G780" s="627"/>
      <c r="H780" s="627"/>
      <c r="I780" s="628"/>
      <c r="J780" s="629"/>
      <c r="K780" s="629"/>
      <c r="L780" s="629"/>
      <c r="M780" s="629"/>
      <c r="N780" s="629"/>
      <c r="O780" s="618"/>
      <c r="P780" s="618"/>
      <c r="Q780" s="618"/>
      <c r="R780" s="618"/>
      <c r="S780" s="618"/>
      <c r="T780" s="618"/>
      <c r="U780" s="618"/>
      <c r="Y780" s="619"/>
    </row>
    <row r="781" spans="1:25" x14ac:dyDescent="0.2">
      <c r="A781" s="615"/>
      <c r="B781" s="615"/>
      <c r="C781" s="615"/>
      <c r="D781" s="615"/>
      <c r="E781" s="615"/>
      <c r="F781" s="627"/>
      <c r="G781" s="627"/>
      <c r="H781" s="627"/>
      <c r="I781" s="628"/>
      <c r="J781" s="629"/>
      <c r="K781" s="629"/>
      <c r="L781" s="629"/>
      <c r="M781" s="629"/>
      <c r="N781" s="629"/>
      <c r="O781" s="618"/>
      <c r="P781" s="618"/>
      <c r="Q781" s="618"/>
      <c r="R781" s="618"/>
      <c r="S781" s="618"/>
      <c r="T781" s="618"/>
      <c r="U781" s="618"/>
      <c r="Y781" s="619"/>
    </row>
    <row r="782" spans="1:25" x14ac:dyDescent="0.2">
      <c r="A782" s="615"/>
      <c r="B782" s="615"/>
      <c r="C782" s="615"/>
      <c r="D782" s="615"/>
      <c r="E782" s="615"/>
      <c r="F782" s="627"/>
      <c r="G782" s="627"/>
      <c r="H782" s="627"/>
      <c r="I782" s="628"/>
      <c r="J782" s="629"/>
      <c r="K782" s="629"/>
      <c r="L782" s="629"/>
      <c r="M782" s="629"/>
      <c r="N782" s="629"/>
      <c r="O782" s="618"/>
      <c r="P782" s="618"/>
      <c r="Q782" s="618"/>
      <c r="R782" s="618"/>
      <c r="S782" s="618"/>
      <c r="T782" s="618"/>
      <c r="U782" s="618"/>
      <c r="Y782" s="619"/>
    </row>
    <row r="783" spans="1:25" x14ac:dyDescent="0.2">
      <c r="A783" s="615"/>
      <c r="B783" s="615"/>
      <c r="C783" s="615"/>
      <c r="D783" s="615"/>
      <c r="E783" s="615"/>
      <c r="F783" s="627"/>
      <c r="G783" s="627"/>
      <c r="H783" s="627"/>
      <c r="I783" s="628"/>
      <c r="J783" s="629"/>
      <c r="K783" s="629"/>
      <c r="L783" s="629"/>
      <c r="M783" s="629"/>
      <c r="N783" s="629"/>
      <c r="O783" s="618"/>
      <c r="P783" s="618"/>
      <c r="Q783" s="618"/>
      <c r="R783" s="618"/>
      <c r="S783" s="618"/>
      <c r="T783" s="618"/>
      <c r="U783" s="618"/>
      <c r="Y783" s="619"/>
    </row>
    <row r="784" spans="1:25" x14ac:dyDescent="0.2">
      <c r="A784" s="615"/>
      <c r="B784" s="615"/>
      <c r="C784" s="615"/>
      <c r="D784" s="615"/>
      <c r="E784" s="615"/>
      <c r="F784" s="627"/>
      <c r="G784" s="627"/>
      <c r="H784" s="627"/>
      <c r="I784" s="628"/>
      <c r="J784" s="629"/>
      <c r="K784" s="629"/>
      <c r="L784" s="629"/>
      <c r="M784" s="629"/>
      <c r="N784" s="629"/>
      <c r="O784" s="618"/>
      <c r="P784" s="618"/>
      <c r="Q784" s="618"/>
      <c r="R784" s="618"/>
      <c r="S784" s="618"/>
      <c r="T784" s="618"/>
      <c r="U784" s="618"/>
      <c r="Y784" s="619"/>
    </row>
    <row r="785" spans="1:25" x14ac:dyDescent="0.2">
      <c r="A785" s="615"/>
      <c r="B785" s="615"/>
      <c r="C785" s="615"/>
      <c r="D785" s="615"/>
      <c r="E785" s="615"/>
      <c r="F785" s="627"/>
      <c r="G785" s="627"/>
      <c r="H785" s="627"/>
      <c r="I785" s="628"/>
      <c r="J785" s="629"/>
      <c r="K785" s="629"/>
      <c r="L785" s="629"/>
      <c r="M785" s="629"/>
      <c r="N785" s="629"/>
      <c r="O785" s="618"/>
      <c r="P785" s="618"/>
      <c r="Q785" s="618"/>
      <c r="R785" s="618"/>
      <c r="S785" s="618"/>
      <c r="T785" s="618"/>
      <c r="U785" s="618"/>
      <c r="Y785" s="619"/>
    </row>
    <row r="786" spans="1:25" x14ac:dyDescent="0.2">
      <c r="A786" s="615"/>
      <c r="B786" s="615"/>
      <c r="C786" s="615"/>
      <c r="D786" s="615"/>
      <c r="E786" s="615"/>
      <c r="F786" s="627"/>
      <c r="G786" s="627"/>
      <c r="H786" s="627"/>
      <c r="I786" s="628"/>
      <c r="J786" s="629"/>
      <c r="K786" s="629"/>
      <c r="L786" s="629"/>
      <c r="M786" s="629"/>
      <c r="N786" s="618"/>
      <c r="O786" s="618"/>
      <c r="P786" s="618"/>
      <c r="Q786" s="618"/>
      <c r="R786" s="618"/>
      <c r="S786" s="618"/>
      <c r="T786" s="618"/>
      <c r="U786" s="618"/>
      <c r="Y786" s="619"/>
    </row>
    <row r="787" spans="1:25" x14ac:dyDescent="0.2">
      <c r="A787" s="615"/>
      <c r="B787" s="615"/>
      <c r="C787" s="615"/>
      <c r="D787" s="615"/>
      <c r="E787" s="615"/>
      <c r="F787" s="627"/>
      <c r="G787" s="627"/>
      <c r="H787" s="627"/>
      <c r="I787" s="628"/>
      <c r="J787" s="629"/>
      <c r="K787" s="629"/>
      <c r="L787" s="629"/>
      <c r="M787" s="629"/>
      <c r="N787" s="618"/>
      <c r="O787" s="618"/>
      <c r="P787" s="618"/>
      <c r="Q787" s="618"/>
      <c r="R787" s="618"/>
      <c r="S787" s="618"/>
      <c r="T787" s="618"/>
      <c r="U787" s="618"/>
      <c r="Y787" s="619"/>
    </row>
    <row r="788" spans="1:25" x14ac:dyDescent="0.2">
      <c r="A788" s="615"/>
      <c r="B788" s="615"/>
      <c r="C788" s="615"/>
      <c r="D788" s="615"/>
      <c r="E788" s="615"/>
      <c r="F788" s="627"/>
      <c r="G788" s="627"/>
      <c r="H788" s="627"/>
      <c r="I788" s="628"/>
      <c r="J788" s="629"/>
      <c r="K788" s="629"/>
      <c r="L788" s="629"/>
      <c r="M788" s="629"/>
      <c r="N788" s="618"/>
      <c r="O788" s="618"/>
      <c r="P788" s="618"/>
      <c r="Q788" s="618"/>
      <c r="R788" s="618"/>
      <c r="S788" s="618"/>
      <c r="T788" s="618"/>
      <c r="U788" s="618"/>
      <c r="Y788" s="619"/>
    </row>
  </sheetData>
  <mergeCells count="121">
    <mergeCell ref="A82:P82"/>
    <mergeCell ref="C85:F85"/>
    <mergeCell ref="C86:F86"/>
    <mergeCell ref="C89:F89"/>
    <mergeCell ref="J89:N89"/>
    <mergeCell ref="J90:N90"/>
    <mergeCell ref="A71:A81"/>
    <mergeCell ref="B71:B81"/>
    <mergeCell ref="C71:C80"/>
    <mergeCell ref="D71:D80"/>
    <mergeCell ref="E71:E80"/>
    <mergeCell ref="F80:P80"/>
    <mergeCell ref="C81:P81"/>
    <mergeCell ref="F79:P79"/>
    <mergeCell ref="F71:F78"/>
    <mergeCell ref="A49:A70"/>
    <mergeCell ref="B49:B70"/>
    <mergeCell ref="C49:C70"/>
    <mergeCell ref="D49:D70"/>
    <mergeCell ref="E49:E70"/>
    <mergeCell ref="J47:J48"/>
    <mergeCell ref="K47:K48"/>
    <mergeCell ref="N47:P47"/>
    <mergeCell ref="R47:R48"/>
    <mergeCell ref="F70:P70"/>
    <mergeCell ref="F49:F69"/>
    <mergeCell ref="L47:L48"/>
    <mergeCell ref="M47:M48"/>
    <mergeCell ref="V46:W46"/>
    <mergeCell ref="A47:A48"/>
    <mergeCell ref="B47:B48"/>
    <mergeCell ref="C47:C48"/>
    <mergeCell ref="D47:D48"/>
    <mergeCell ref="E47:E48"/>
    <mergeCell ref="F47:F48"/>
    <mergeCell ref="G47:G48"/>
    <mergeCell ref="H47:H48"/>
    <mergeCell ref="I47:I48"/>
    <mergeCell ref="U47:U48"/>
    <mergeCell ref="V47:W47"/>
    <mergeCell ref="S47:S48"/>
    <mergeCell ref="T47:T48"/>
    <mergeCell ref="A44:D44"/>
    <mergeCell ref="E44:T44"/>
    <mergeCell ref="A45:D45"/>
    <mergeCell ref="E45:T45"/>
    <mergeCell ref="A46:D46"/>
    <mergeCell ref="E46:T46"/>
    <mergeCell ref="F40:P40"/>
    <mergeCell ref="A41:P41"/>
    <mergeCell ref="A42:P42"/>
    <mergeCell ref="A43:D43"/>
    <mergeCell ref="E43:T43"/>
    <mergeCell ref="A38:A40"/>
    <mergeCell ref="D38:D40"/>
    <mergeCell ref="E38:E40"/>
    <mergeCell ref="F39:P39"/>
    <mergeCell ref="B30:B40"/>
    <mergeCell ref="C30:C40"/>
    <mergeCell ref="A33:A37"/>
    <mergeCell ref="D33:D37"/>
    <mergeCell ref="E33:E37"/>
    <mergeCell ref="F34:P34"/>
    <mergeCell ref="F36:P36"/>
    <mergeCell ref="A29:P29"/>
    <mergeCell ref="A30:A32"/>
    <mergeCell ref="D30:D32"/>
    <mergeCell ref="E30:E32"/>
    <mergeCell ref="F37:P37"/>
    <mergeCell ref="F31:P31"/>
    <mergeCell ref="F32:P32"/>
    <mergeCell ref="D26:D28"/>
    <mergeCell ref="E26:E28"/>
    <mergeCell ref="F28:P28"/>
    <mergeCell ref="F25:P25"/>
    <mergeCell ref="F20:P20"/>
    <mergeCell ref="F24:P24"/>
    <mergeCell ref="D19:D25"/>
    <mergeCell ref="E19:E24"/>
    <mergeCell ref="F27:P27"/>
    <mergeCell ref="A16:A28"/>
    <mergeCell ref="B16:B28"/>
    <mergeCell ref="C16:C28"/>
    <mergeCell ref="V14:W14"/>
    <mergeCell ref="X14:X15"/>
    <mergeCell ref="Y14:Y15"/>
    <mergeCell ref="Z14:Z15"/>
    <mergeCell ref="AA14:AA15"/>
    <mergeCell ref="N14:P14"/>
    <mergeCell ref="Q14:Q15"/>
    <mergeCell ref="R14:R15"/>
    <mergeCell ref="S14:S15"/>
    <mergeCell ref="T14:T15"/>
    <mergeCell ref="U14:U15"/>
    <mergeCell ref="E12:T12"/>
    <mergeCell ref="E13:T13"/>
    <mergeCell ref="A14:A15"/>
    <mergeCell ref="B14:B15"/>
    <mergeCell ref="C14:C15"/>
    <mergeCell ref="D14:D15"/>
    <mergeCell ref="E14:E15"/>
    <mergeCell ref="F14:F15"/>
    <mergeCell ref="D16:D18"/>
    <mergeCell ref="E16:E18"/>
    <mergeCell ref="F18:P18"/>
    <mergeCell ref="G14:G15"/>
    <mergeCell ref="I14:I15"/>
    <mergeCell ref="J14:J15"/>
    <mergeCell ref="K14:K15"/>
    <mergeCell ref="M14:M15"/>
    <mergeCell ref="F17:P17"/>
    <mergeCell ref="L14:L15"/>
    <mergeCell ref="E1:R6"/>
    <mergeCell ref="A8:C8"/>
    <mergeCell ref="E8:T8"/>
    <mergeCell ref="A9:C9"/>
    <mergeCell ref="E9:T9"/>
    <mergeCell ref="A10:C10"/>
    <mergeCell ref="E10:T10"/>
    <mergeCell ref="A11:C11"/>
    <mergeCell ref="E11:T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41" workbookViewId="0">
      <selection activeCell="I41" sqref="I41"/>
    </sheetView>
  </sheetViews>
  <sheetFormatPr baseColWidth="10" defaultRowHeight="15" x14ac:dyDescent="0.25"/>
  <cols>
    <col min="1" max="1" width="11.28515625" style="904" customWidth="1"/>
    <col min="2" max="2" width="32.85546875" style="905" customWidth="1"/>
    <col min="3" max="3" width="22.28515625" style="905" customWidth="1"/>
    <col min="4" max="4" width="24.28515625" style="905" hidden="1" customWidth="1"/>
    <col min="5" max="5" width="32.85546875" style="905" hidden="1" customWidth="1"/>
    <col min="6" max="6" width="18.42578125" style="905" hidden="1" customWidth="1"/>
    <col min="7" max="7" width="31.85546875" style="905" hidden="1" customWidth="1"/>
    <col min="8" max="8" width="25" style="905" hidden="1" customWidth="1"/>
    <col min="9" max="11" width="30" style="890" customWidth="1"/>
    <col min="12" max="12" width="30" style="932" hidden="1" customWidth="1"/>
    <col min="13" max="13" width="26.140625" style="905" hidden="1" customWidth="1"/>
    <col min="14" max="14" width="17.7109375" style="905" hidden="1" customWidth="1"/>
    <col min="15" max="15" width="25.42578125" style="905" hidden="1" customWidth="1"/>
    <col min="16" max="16" width="28.7109375" style="905" hidden="1" customWidth="1"/>
    <col min="17" max="17" width="15.42578125" style="905" hidden="1" customWidth="1"/>
    <col min="18" max="18" width="16.85546875" hidden="1" customWidth="1"/>
    <col min="20" max="20" width="34.5703125" customWidth="1"/>
    <col min="21" max="21" width="35.28515625" customWidth="1"/>
  </cols>
  <sheetData>
    <row r="1" spans="1:18" ht="18" customHeight="1" x14ac:dyDescent="0.25">
      <c r="A1" s="1376" t="s">
        <v>625</v>
      </c>
      <c r="B1" s="860" t="s">
        <v>627</v>
      </c>
      <c r="C1" s="861"/>
      <c r="D1" s="861"/>
      <c r="E1" s="860" t="s">
        <v>627</v>
      </c>
      <c r="F1" s="861"/>
      <c r="G1" s="861"/>
      <c r="H1" s="861"/>
      <c r="I1" s="862"/>
      <c r="J1" s="862"/>
      <c r="K1" s="862"/>
      <c r="L1" s="863" t="s">
        <v>628</v>
      </c>
      <c r="M1" s="861"/>
      <c r="N1" s="861"/>
      <c r="O1" s="861"/>
      <c r="P1" s="861"/>
      <c r="Q1" s="861"/>
      <c r="R1" s="861"/>
    </row>
    <row r="2" spans="1:18" ht="18" customHeight="1" x14ac:dyDescent="0.25">
      <c r="A2" s="1377"/>
      <c r="B2" s="1369" t="s">
        <v>631</v>
      </c>
      <c r="C2" s="1370"/>
      <c r="D2" s="1371"/>
      <c r="E2" s="1379" t="s">
        <v>632</v>
      </c>
      <c r="F2" s="1380"/>
      <c r="G2" s="865"/>
      <c r="H2" s="865"/>
      <c r="I2" s="1366">
        <v>2018</v>
      </c>
      <c r="J2" s="1367"/>
      <c r="K2" s="1368"/>
      <c r="L2" s="866"/>
      <c r="M2" s="1369">
        <v>2019</v>
      </c>
      <c r="N2" s="1370"/>
      <c r="O2" s="1371"/>
      <c r="P2" s="1369">
        <v>2020</v>
      </c>
      <c r="Q2" s="1370"/>
      <c r="R2" s="1371"/>
    </row>
    <row r="3" spans="1:18" ht="51.75" customHeight="1" x14ac:dyDescent="0.25">
      <c r="A3" s="1378"/>
      <c r="B3" s="864" t="s">
        <v>636</v>
      </c>
      <c r="C3" s="864" t="s">
        <v>637</v>
      </c>
      <c r="D3" s="864" t="s">
        <v>638</v>
      </c>
      <c r="E3" s="867" t="s">
        <v>636</v>
      </c>
      <c r="F3" s="867" t="s">
        <v>637</v>
      </c>
      <c r="G3" s="867" t="s">
        <v>638</v>
      </c>
      <c r="H3" s="867"/>
      <c r="I3" s="868" t="s">
        <v>638</v>
      </c>
      <c r="J3" s="868"/>
      <c r="K3" s="868"/>
      <c r="L3" s="869" t="s">
        <v>638</v>
      </c>
      <c r="M3" s="864" t="s">
        <v>636</v>
      </c>
      <c r="N3" s="864" t="s">
        <v>637</v>
      </c>
      <c r="O3" s="864" t="s">
        <v>638</v>
      </c>
      <c r="P3" s="864" t="s">
        <v>636</v>
      </c>
      <c r="Q3" s="864" t="s">
        <v>637</v>
      </c>
      <c r="R3" s="864" t="s">
        <v>638</v>
      </c>
    </row>
    <row r="4" spans="1:18" ht="51.75" customHeight="1" x14ac:dyDescent="0.25">
      <c r="A4" s="870"/>
      <c r="B4" s="864"/>
      <c r="C4" s="864"/>
      <c r="D4" s="864"/>
      <c r="E4" s="867"/>
      <c r="F4" s="867"/>
      <c r="G4" s="867"/>
      <c r="H4" s="867"/>
      <c r="I4" s="871" t="s">
        <v>5</v>
      </c>
      <c r="J4" s="871" t="s">
        <v>639</v>
      </c>
      <c r="K4" s="871" t="s">
        <v>7</v>
      </c>
      <c r="L4" s="869"/>
      <c r="M4" s="864"/>
      <c r="N4" s="864"/>
      <c r="O4" s="864"/>
      <c r="P4" s="864"/>
      <c r="Q4" s="864"/>
      <c r="R4" s="864"/>
    </row>
    <row r="5" spans="1:18" ht="24.75" customHeight="1" x14ac:dyDescent="0.25">
      <c r="A5" s="1372" t="s">
        <v>640</v>
      </c>
      <c r="B5" s="1375" t="s">
        <v>644</v>
      </c>
      <c r="C5" s="858" t="s">
        <v>623</v>
      </c>
      <c r="D5" s="872">
        <f>4500000*11</f>
        <v>49500000</v>
      </c>
      <c r="E5" s="1375" t="s">
        <v>644</v>
      </c>
      <c r="F5" s="858" t="s">
        <v>623</v>
      </c>
      <c r="G5" s="872">
        <f>4500000*11</f>
        <v>49500000</v>
      </c>
      <c r="H5" s="872">
        <v>1.04</v>
      </c>
      <c r="I5" s="859">
        <f>+G5*$H$5</f>
        <v>51480000</v>
      </c>
      <c r="J5" s="859"/>
      <c r="K5" s="859">
        <f>+J5+I5</f>
        <v>51480000</v>
      </c>
      <c r="L5" s="873">
        <f>+I5</f>
        <v>51480000</v>
      </c>
      <c r="M5" s="1375" t="s">
        <v>645</v>
      </c>
      <c r="N5" s="858" t="s">
        <v>623</v>
      </c>
      <c r="O5" s="872">
        <f>4500000*12</f>
        <v>54000000</v>
      </c>
      <c r="P5" s="1375" t="s">
        <v>646</v>
      </c>
      <c r="Q5" s="858" t="s">
        <v>623</v>
      </c>
      <c r="R5" s="872">
        <f>4500000*12</f>
        <v>54000000</v>
      </c>
    </row>
    <row r="6" spans="1:18" ht="24.75" customHeight="1" x14ac:dyDescent="0.25">
      <c r="A6" s="1373"/>
      <c r="B6" s="1375"/>
      <c r="C6" s="858" t="s">
        <v>624</v>
      </c>
      <c r="D6" s="872">
        <f>(4500000*11)</f>
        <v>49500000</v>
      </c>
      <c r="E6" s="1375"/>
      <c r="F6" s="858" t="s">
        <v>624</v>
      </c>
      <c r="G6" s="872">
        <f>(4500000*11)</f>
        <v>49500000</v>
      </c>
      <c r="H6" s="872"/>
      <c r="I6" s="859">
        <f t="shared" ref="I6:I9" si="0">+G6*$H$5</f>
        <v>51480000</v>
      </c>
      <c r="J6" s="859"/>
      <c r="K6" s="859">
        <f t="shared" ref="K6:K43" si="1">+J6+I6</f>
        <v>51480000</v>
      </c>
      <c r="L6" s="873">
        <f t="shared" ref="L6:L11" si="2">+I6</f>
        <v>51480000</v>
      </c>
      <c r="M6" s="1375"/>
      <c r="N6" s="858" t="s">
        <v>624</v>
      </c>
      <c r="O6" s="872">
        <f>(4500000*12)</f>
        <v>54000000</v>
      </c>
      <c r="P6" s="1375"/>
      <c r="Q6" s="858" t="s">
        <v>624</v>
      </c>
      <c r="R6" s="872">
        <f>(4500000*12)</f>
        <v>54000000</v>
      </c>
    </row>
    <row r="7" spans="1:18" ht="24.75" customHeight="1" x14ac:dyDescent="0.25">
      <c r="A7" s="1373"/>
      <c r="B7" s="1375"/>
      <c r="C7" s="858" t="s">
        <v>624</v>
      </c>
      <c r="D7" s="872">
        <f>3850000*11</f>
        <v>42350000</v>
      </c>
      <c r="E7" s="1375"/>
      <c r="F7" s="858" t="s">
        <v>624</v>
      </c>
      <c r="G7" s="872">
        <f>3850000*11</f>
        <v>42350000</v>
      </c>
      <c r="H7" s="872"/>
      <c r="I7" s="859">
        <f t="shared" si="0"/>
        <v>44044000</v>
      </c>
      <c r="J7" s="859"/>
      <c r="K7" s="859">
        <f t="shared" si="1"/>
        <v>44044000</v>
      </c>
      <c r="L7" s="873">
        <f t="shared" si="2"/>
        <v>44044000</v>
      </c>
      <c r="M7" s="1375"/>
      <c r="N7" s="858" t="s">
        <v>624</v>
      </c>
      <c r="O7" s="872">
        <f>3850000*12</f>
        <v>46200000</v>
      </c>
      <c r="P7" s="1375"/>
      <c r="Q7" s="858" t="s">
        <v>624</v>
      </c>
      <c r="R7" s="872">
        <f>3850000*12</f>
        <v>46200000</v>
      </c>
    </row>
    <row r="8" spans="1:18" ht="24.75" customHeight="1" x14ac:dyDescent="0.25">
      <c r="A8" s="1373"/>
      <c r="B8" s="1375"/>
      <c r="C8" s="858" t="s">
        <v>647</v>
      </c>
      <c r="D8" s="874">
        <f>(3000000*11)</f>
        <v>33000000</v>
      </c>
      <c r="E8" s="1375"/>
      <c r="F8" s="858" t="s">
        <v>647</v>
      </c>
      <c r="G8" s="874">
        <f>(3000000*11)</f>
        <v>33000000</v>
      </c>
      <c r="H8" s="874"/>
      <c r="I8" s="859">
        <f t="shared" si="0"/>
        <v>34320000</v>
      </c>
      <c r="J8" s="859"/>
      <c r="K8" s="859">
        <f t="shared" si="1"/>
        <v>34320000</v>
      </c>
      <c r="L8" s="873">
        <f t="shared" si="2"/>
        <v>34320000</v>
      </c>
      <c r="M8" s="1375"/>
      <c r="N8" s="858" t="s">
        <v>647</v>
      </c>
      <c r="O8" s="874">
        <f>(3000000*12)</f>
        <v>36000000</v>
      </c>
      <c r="P8" s="1375"/>
      <c r="Q8" s="858" t="s">
        <v>647</v>
      </c>
      <c r="R8" s="874">
        <f>(3000000*12)</f>
        <v>36000000</v>
      </c>
    </row>
    <row r="9" spans="1:18" ht="24.75" customHeight="1" x14ac:dyDescent="0.25">
      <c r="A9" s="1373"/>
      <c r="B9" s="1375"/>
      <c r="C9" s="858" t="s">
        <v>647</v>
      </c>
      <c r="D9" s="874">
        <f>(7032441*11)</f>
        <v>77356851</v>
      </c>
      <c r="E9" s="1375"/>
      <c r="F9" s="858" t="s">
        <v>647</v>
      </c>
      <c r="G9" s="874">
        <f>(7032441*11)</f>
        <v>77356851</v>
      </c>
      <c r="H9" s="874"/>
      <c r="I9" s="859">
        <f t="shared" si="0"/>
        <v>80451125.040000007</v>
      </c>
      <c r="J9" s="859"/>
      <c r="K9" s="859">
        <f t="shared" si="1"/>
        <v>80451125.040000007</v>
      </c>
      <c r="L9" s="873">
        <f t="shared" si="2"/>
        <v>80451125.040000007</v>
      </c>
      <c r="M9" s="1375"/>
      <c r="N9" s="858" t="s">
        <v>647</v>
      </c>
      <c r="O9" s="874">
        <f>(7032441*12)</f>
        <v>84389292</v>
      </c>
      <c r="P9" s="1375"/>
      <c r="Q9" s="858" t="s">
        <v>647</v>
      </c>
      <c r="R9" s="874">
        <f>(7032441*12)</f>
        <v>84389292</v>
      </c>
    </row>
    <row r="10" spans="1:18" s="878" customFormat="1" ht="24.75" customHeight="1" x14ac:dyDescent="0.25">
      <c r="A10" s="1373"/>
      <c r="B10" s="1375"/>
      <c r="C10" s="875" t="s">
        <v>647</v>
      </c>
      <c r="D10" s="876">
        <f>(5020080*11)</f>
        <v>55220880</v>
      </c>
      <c r="E10" s="1375"/>
      <c r="F10" s="875" t="s">
        <v>647</v>
      </c>
      <c r="G10" s="876"/>
      <c r="H10" s="876"/>
      <c r="I10" s="859">
        <v>30000000</v>
      </c>
      <c r="J10" s="859"/>
      <c r="K10" s="859">
        <f t="shared" si="1"/>
        <v>30000000</v>
      </c>
      <c r="L10" s="873">
        <f t="shared" si="2"/>
        <v>30000000</v>
      </c>
      <c r="M10" s="1375"/>
      <c r="N10" s="875" t="s">
        <v>647</v>
      </c>
      <c r="O10" s="877">
        <f>(7032441*12)</f>
        <v>84389292</v>
      </c>
      <c r="P10" s="1375"/>
      <c r="Q10" s="875" t="s">
        <v>647</v>
      </c>
      <c r="R10" s="877">
        <f>(7032441*12)</f>
        <v>84389292</v>
      </c>
    </row>
    <row r="11" spans="1:18" ht="42.75" customHeight="1" x14ac:dyDescent="0.25">
      <c r="A11" s="1374"/>
      <c r="B11" s="1375"/>
      <c r="C11" s="879" t="s">
        <v>648</v>
      </c>
      <c r="D11" s="872">
        <f>2500000*6*1.19</f>
        <v>17850000</v>
      </c>
      <c r="E11" s="1375"/>
      <c r="F11" s="879" t="s">
        <v>648</v>
      </c>
      <c r="G11" s="872">
        <f>2500000*6*1.19</f>
        <v>17850000</v>
      </c>
      <c r="H11" s="872"/>
      <c r="I11" s="859">
        <f>+G11</f>
        <v>17850000</v>
      </c>
      <c r="J11" s="859"/>
      <c r="K11" s="859">
        <f t="shared" si="1"/>
        <v>17850000</v>
      </c>
      <c r="L11" s="873">
        <f t="shared" si="2"/>
        <v>17850000</v>
      </c>
      <c r="M11" s="1375"/>
      <c r="N11" s="858"/>
      <c r="O11" s="858"/>
      <c r="P11" s="1375"/>
      <c r="Q11" s="858"/>
      <c r="R11" s="858"/>
    </row>
    <row r="12" spans="1:18" ht="34.5" hidden="1" customHeight="1" x14ac:dyDescent="0.25">
      <c r="A12" s="1390" t="s">
        <v>649</v>
      </c>
      <c r="B12" s="1391"/>
      <c r="C12" s="1392"/>
      <c r="D12" s="880">
        <f>SUM(D5:D11)</f>
        <v>324777731</v>
      </c>
      <c r="E12" s="880">
        <f>SUM(E5:E11)</f>
        <v>0</v>
      </c>
      <c r="F12" s="880">
        <f>SUM(F5:F11)</f>
        <v>0</v>
      </c>
      <c r="G12" s="880">
        <f>SUM(G5:G11)</f>
        <v>269556851</v>
      </c>
      <c r="H12" s="880"/>
      <c r="I12" s="880">
        <f>SUM(I5:I11)</f>
        <v>309625125.04000002</v>
      </c>
      <c r="J12" s="880">
        <f>SUM(J5:J11)</f>
        <v>0</v>
      </c>
      <c r="K12" s="880">
        <f>SUM(K5:K11)</f>
        <v>309625125.04000002</v>
      </c>
      <c r="L12" s="882">
        <f>SUM(L5:L11)</f>
        <v>309625125.04000002</v>
      </c>
      <c r="M12" s="880"/>
      <c r="N12" s="880">
        <f>SUM(N5:N11)</f>
        <v>0</v>
      </c>
      <c r="O12" s="880">
        <f>SUM(O5:O11)</f>
        <v>358978584</v>
      </c>
      <c r="P12" s="880">
        <f>SUM(P5:P11)</f>
        <v>0</v>
      </c>
      <c r="Q12" s="880">
        <f>SUM(Q5:Q11)</f>
        <v>0</v>
      </c>
      <c r="R12" s="880">
        <f>SUM(R5:R11)</f>
        <v>358978584</v>
      </c>
    </row>
    <row r="13" spans="1:18" s="885" customFormat="1" ht="105.75" customHeight="1" x14ac:dyDescent="0.25">
      <c r="A13" s="1382" t="s">
        <v>650</v>
      </c>
      <c r="B13" s="1381" t="s">
        <v>655</v>
      </c>
      <c r="C13" s="883" t="s">
        <v>654</v>
      </c>
      <c r="D13" s="872">
        <f>3413520*11</f>
        <v>37548720</v>
      </c>
      <c r="E13" s="1381" t="s">
        <v>655</v>
      </c>
      <c r="F13" s="883" t="s">
        <v>654</v>
      </c>
      <c r="G13" s="872">
        <f>3413520*11</f>
        <v>37548720</v>
      </c>
      <c r="H13" s="872"/>
      <c r="I13" s="859">
        <f>+G13*$H$5</f>
        <v>39050668.800000004</v>
      </c>
      <c r="J13" s="859"/>
      <c r="K13" s="859">
        <f t="shared" si="1"/>
        <v>39050668.800000004</v>
      </c>
      <c r="L13" s="873">
        <f>+I13</f>
        <v>39050668.800000004</v>
      </c>
      <c r="M13" s="1381" t="s">
        <v>656</v>
      </c>
      <c r="N13" s="883" t="s">
        <v>654</v>
      </c>
      <c r="O13" s="872">
        <f>+D13</f>
        <v>37548720</v>
      </c>
      <c r="P13" s="883" t="s">
        <v>646</v>
      </c>
      <c r="Q13" s="883"/>
      <c r="R13" s="884">
        <f>+O13</f>
        <v>37548720</v>
      </c>
    </row>
    <row r="14" spans="1:18" s="885" customFormat="1" ht="105.75" customHeight="1" x14ac:dyDescent="0.25">
      <c r="A14" s="1383"/>
      <c r="B14" s="1381"/>
      <c r="C14" s="883" t="s">
        <v>657</v>
      </c>
      <c r="D14" s="886"/>
      <c r="E14" s="1381"/>
      <c r="F14" s="883" t="s">
        <v>657</v>
      </c>
      <c r="G14" s="886"/>
      <c r="H14" s="886"/>
      <c r="I14" s="887"/>
      <c r="J14" s="887"/>
      <c r="K14" s="859">
        <f t="shared" si="1"/>
        <v>0</v>
      </c>
      <c r="L14" s="888"/>
      <c r="M14" s="1381"/>
      <c r="N14" s="883" t="s">
        <v>658</v>
      </c>
      <c r="O14" s="872">
        <v>10000000</v>
      </c>
      <c r="P14" s="883"/>
      <c r="Q14" s="883"/>
      <c r="R14" s="883"/>
    </row>
    <row r="15" spans="1:18" ht="30" hidden="1" customHeight="1" x14ac:dyDescent="0.25">
      <c r="A15" s="1390" t="s">
        <v>659</v>
      </c>
      <c r="B15" s="1391"/>
      <c r="C15" s="1392"/>
      <c r="D15" s="880">
        <f>SUM(D13:D14)</f>
        <v>37548720</v>
      </c>
      <c r="E15" s="880">
        <f t="shared" ref="E15:F15" si="3">SUM(E13:E14)</f>
        <v>0</v>
      </c>
      <c r="F15" s="880">
        <f t="shared" si="3"/>
        <v>0</v>
      </c>
      <c r="G15" s="880">
        <f>SUM(G13:G14)</f>
        <v>37548720</v>
      </c>
      <c r="H15" s="880"/>
      <c r="I15" s="880">
        <f>SUM(I13:I14)</f>
        <v>39050668.800000004</v>
      </c>
      <c r="J15" s="880">
        <f t="shared" ref="J15:K15" si="4">SUM(J13:J14)</f>
        <v>0</v>
      </c>
      <c r="K15" s="880">
        <f t="shared" si="4"/>
        <v>39050668.800000004</v>
      </c>
      <c r="L15" s="882">
        <f>SUM(L13:L14)</f>
        <v>39050668.800000004</v>
      </c>
      <c r="M15" s="880">
        <f t="shared" ref="M15:R15" si="5">SUM(M13:M14)</f>
        <v>0</v>
      </c>
      <c r="N15" s="880">
        <f t="shared" si="5"/>
        <v>0</v>
      </c>
      <c r="O15" s="880">
        <f t="shared" si="5"/>
        <v>47548720</v>
      </c>
      <c r="P15" s="880">
        <f t="shared" si="5"/>
        <v>0</v>
      </c>
      <c r="Q15" s="880">
        <f t="shared" si="5"/>
        <v>0</v>
      </c>
      <c r="R15" s="880">
        <f t="shared" si="5"/>
        <v>37548720</v>
      </c>
    </row>
    <row r="16" spans="1:18" ht="60" customHeight="1" x14ac:dyDescent="0.25">
      <c r="A16" s="1382" t="s">
        <v>660</v>
      </c>
      <c r="B16" s="1385" t="s">
        <v>665</v>
      </c>
      <c r="C16" s="879" t="s">
        <v>666</v>
      </c>
      <c r="D16" s="872">
        <f>71000000*1.03</f>
        <v>73130000</v>
      </c>
      <c r="E16" s="1385" t="s">
        <v>665</v>
      </c>
      <c r="F16" s="879" t="s">
        <v>666</v>
      </c>
      <c r="G16" s="872"/>
      <c r="H16" s="872"/>
      <c r="I16" s="859"/>
      <c r="J16" s="859"/>
      <c r="K16" s="859">
        <f t="shared" si="1"/>
        <v>0</v>
      </c>
      <c r="L16" s="873"/>
      <c r="M16" s="1385" t="s">
        <v>667</v>
      </c>
      <c r="N16" s="879" t="s">
        <v>668</v>
      </c>
      <c r="O16" s="872">
        <v>30000000</v>
      </c>
      <c r="P16" s="1385" t="s">
        <v>669</v>
      </c>
      <c r="Q16" s="879" t="s">
        <v>670</v>
      </c>
      <c r="R16" s="872">
        <f>20*4000000</f>
        <v>80000000</v>
      </c>
    </row>
    <row r="17" spans="1:21" ht="105" customHeight="1" x14ac:dyDescent="0.25">
      <c r="A17" s="1383"/>
      <c r="B17" s="1386"/>
      <c r="C17" s="879" t="s">
        <v>672</v>
      </c>
      <c r="D17" s="872">
        <v>60000000</v>
      </c>
      <c r="E17" s="1386"/>
      <c r="F17" s="879" t="s">
        <v>672</v>
      </c>
      <c r="G17" s="872"/>
      <c r="H17" s="872"/>
      <c r="I17" s="859"/>
      <c r="J17" s="859"/>
      <c r="K17" s="859">
        <f t="shared" si="1"/>
        <v>0</v>
      </c>
      <c r="L17" s="873"/>
      <c r="M17" s="1386"/>
      <c r="N17" s="879" t="s">
        <v>673</v>
      </c>
      <c r="O17" s="874">
        <v>16000000</v>
      </c>
      <c r="P17" s="1386"/>
      <c r="Q17" s="879" t="s">
        <v>674</v>
      </c>
      <c r="R17" s="872">
        <f>10*500000</f>
        <v>5000000</v>
      </c>
    </row>
    <row r="18" spans="1:21" ht="62.25" customHeight="1" x14ac:dyDescent="0.25">
      <c r="A18" s="1383"/>
      <c r="B18" s="1386"/>
      <c r="C18" s="879" t="s">
        <v>675</v>
      </c>
      <c r="D18" s="872">
        <f>18*4000000</f>
        <v>72000000</v>
      </c>
      <c r="E18" s="1386"/>
      <c r="F18" s="889" t="s">
        <v>676</v>
      </c>
      <c r="G18" s="872">
        <f>14*4000000</f>
        <v>56000000</v>
      </c>
      <c r="H18" s="872"/>
      <c r="I18" s="859"/>
      <c r="J18" s="859">
        <f>14*4000000</f>
        <v>56000000</v>
      </c>
      <c r="K18" s="859">
        <f t="shared" si="1"/>
        <v>56000000</v>
      </c>
      <c r="L18" s="873">
        <f>+D18</f>
        <v>72000000</v>
      </c>
      <c r="M18" s="1386"/>
      <c r="N18" s="879" t="s">
        <v>677</v>
      </c>
      <c r="O18" s="872">
        <f>5020080*12</f>
        <v>60240960</v>
      </c>
      <c r="P18" s="1386"/>
      <c r="Q18" s="879" t="s">
        <v>677</v>
      </c>
      <c r="R18" s="872">
        <f>5020080*12</f>
        <v>60240960</v>
      </c>
    </row>
    <row r="19" spans="1:21" ht="43.5" customHeight="1" x14ac:dyDescent="0.25">
      <c r="A19" s="1383"/>
      <c r="B19" s="1386"/>
      <c r="C19" s="879" t="s">
        <v>678</v>
      </c>
      <c r="D19" s="872">
        <f>49*500000</f>
        <v>24500000</v>
      </c>
      <c r="E19" s="1386"/>
      <c r="F19" s="879" t="s">
        <v>674</v>
      </c>
      <c r="G19" s="872"/>
      <c r="H19" s="872"/>
      <c r="I19" s="859">
        <f>789190.448000002*10</f>
        <v>7891904.4800000191</v>
      </c>
      <c r="K19" s="859">
        <f t="shared" si="1"/>
        <v>7891904.4800000191</v>
      </c>
      <c r="L19" s="873">
        <f>+D19</f>
        <v>24500000</v>
      </c>
      <c r="M19" s="1386"/>
      <c r="N19" s="879"/>
      <c r="O19" s="872"/>
      <c r="P19" s="1386"/>
      <c r="Q19" s="891"/>
      <c r="R19" s="892"/>
      <c r="T19" s="893"/>
      <c r="U19" s="894"/>
    </row>
    <row r="20" spans="1:21" ht="120" customHeight="1" x14ac:dyDescent="0.25">
      <c r="A20" s="1383"/>
      <c r="B20" s="1386"/>
      <c r="C20" s="879" t="s">
        <v>679</v>
      </c>
      <c r="D20" s="872">
        <v>30000000</v>
      </c>
      <c r="E20" s="1386"/>
      <c r="F20" s="879" t="s">
        <v>680</v>
      </c>
      <c r="G20" s="872">
        <v>15000000</v>
      </c>
      <c r="H20" s="872"/>
      <c r="I20" s="859">
        <v>10594000</v>
      </c>
      <c r="J20" s="859">
        <v>4406000</v>
      </c>
      <c r="K20" s="859">
        <f t="shared" si="1"/>
        <v>15000000</v>
      </c>
      <c r="L20" s="873">
        <v>15000000</v>
      </c>
      <c r="M20" s="1386"/>
      <c r="N20" s="879"/>
      <c r="O20" s="872"/>
      <c r="P20" s="1386"/>
      <c r="Q20" s="891"/>
      <c r="R20" s="892"/>
      <c r="T20" s="894"/>
    </row>
    <row r="21" spans="1:21" ht="51" customHeight="1" x14ac:dyDescent="0.25">
      <c r="A21" s="1383"/>
      <c r="B21" s="1386"/>
      <c r="C21" s="879" t="s">
        <v>681</v>
      </c>
      <c r="D21" s="872">
        <v>10000000</v>
      </c>
      <c r="E21" s="1386"/>
      <c r="F21" s="879" t="s">
        <v>681</v>
      </c>
      <c r="G21" s="872"/>
      <c r="H21" s="872"/>
      <c r="I21" s="859"/>
      <c r="J21" s="859"/>
      <c r="K21" s="859">
        <f t="shared" si="1"/>
        <v>0</v>
      </c>
      <c r="L21" s="873">
        <f>+D21</f>
        <v>10000000</v>
      </c>
      <c r="M21" s="1386"/>
      <c r="N21" s="879"/>
      <c r="O21" s="872"/>
      <c r="P21" s="1386"/>
      <c r="Q21" s="891"/>
      <c r="R21" s="892"/>
    </row>
    <row r="22" spans="1:21" s="900" customFormat="1" ht="111.75" customHeight="1" x14ac:dyDescent="0.25">
      <c r="A22" s="1383"/>
      <c r="B22" s="1386"/>
      <c r="C22" s="895" t="s">
        <v>682</v>
      </c>
      <c r="D22" s="896">
        <v>30000000</v>
      </c>
      <c r="E22" s="1386"/>
      <c r="F22" s="895" t="s">
        <v>682</v>
      </c>
      <c r="G22" s="896">
        <v>30000000</v>
      </c>
      <c r="H22" s="896"/>
      <c r="I22" s="897">
        <v>30000000</v>
      </c>
      <c r="J22" s="897"/>
      <c r="K22" s="859">
        <f t="shared" si="1"/>
        <v>30000000</v>
      </c>
      <c r="L22" s="898">
        <v>30000000</v>
      </c>
      <c r="M22" s="1386"/>
      <c r="N22" s="899"/>
      <c r="O22" s="874"/>
      <c r="P22" s="1386"/>
      <c r="Q22" s="899"/>
      <c r="R22" s="874"/>
    </row>
    <row r="23" spans="1:21" ht="105.75" customHeight="1" x14ac:dyDescent="0.25">
      <c r="A23" s="1383"/>
      <c r="B23" s="1386"/>
      <c r="C23" s="879" t="s">
        <v>683</v>
      </c>
      <c r="D23" s="872">
        <v>10000000</v>
      </c>
      <c r="E23" s="1386"/>
      <c r="F23" s="879" t="s">
        <v>683</v>
      </c>
      <c r="G23" s="872"/>
      <c r="H23" s="872"/>
      <c r="I23" s="859"/>
      <c r="J23" s="859"/>
      <c r="K23" s="859">
        <f t="shared" si="1"/>
        <v>0</v>
      </c>
      <c r="L23" s="873">
        <f>+D23</f>
        <v>10000000</v>
      </c>
      <c r="M23" s="1386"/>
      <c r="N23" s="879"/>
      <c r="O23" s="872"/>
      <c r="P23" s="1386"/>
      <c r="Q23" s="891"/>
      <c r="R23" s="892"/>
    </row>
    <row r="24" spans="1:21" ht="45" customHeight="1" x14ac:dyDescent="0.25">
      <c r="A24" s="1384"/>
      <c r="B24" s="1387"/>
      <c r="C24" s="879" t="s">
        <v>684</v>
      </c>
      <c r="D24" s="872">
        <f>5020080*12</f>
        <v>60240960</v>
      </c>
      <c r="E24" s="1387"/>
      <c r="F24" s="879" t="s">
        <v>684</v>
      </c>
      <c r="G24" s="872">
        <f>+D24*$H$5</f>
        <v>62650598.399999999</v>
      </c>
      <c r="H24" s="872"/>
      <c r="I24" s="859">
        <f>+D24*$H$5</f>
        <v>62650598.399999999</v>
      </c>
      <c r="J24" s="859"/>
      <c r="K24" s="859">
        <f t="shared" si="1"/>
        <v>62650598.399999999</v>
      </c>
      <c r="L24" s="873">
        <f>+I24</f>
        <v>62650598.399999999</v>
      </c>
      <c r="M24" s="1387"/>
      <c r="N24" s="879"/>
      <c r="O24" s="872"/>
      <c r="P24" s="1387"/>
      <c r="Q24" s="891"/>
      <c r="R24" s="892"/>
    </row>
    <row r="25" spans="1:21" ht="1.5" hidden="1" customHeight="1" x14ac:dyDescent="0.25">
      <c r="A25" s="1390" t="s">
        <v>685</v>
      </c>
      <c r="B25" s="1391"/>
      <c r="C25" s="1392"/>
      <c r="D25" s="880">
        <f t="shared" ref="D25:R25" si="6">SUM(D16:D24)</f>
        <v>369870960</v>
      </c>
      <c r="E25" s="880"/>
      <c r="F25" s="880">
        <f t="shared" ref="F25" si="7">SUM(F16:F24)</f>
        <v>0</v>
      </c>
      <c r="G25" s="880">
        <f>SUM(G16:G24)</f>
        <v>163650598.40000001</v>
      </c>
      <c r="H25" s="880"/>
      <c r="I25" s="880">
        <f>SUM(I16:I24)</f>
        <v>111136502.88000003</v>
      </c>
      <c r="J25" s="880">
        <f t="shared" ref="J25:K25" si="8">SUM(J16:J24)</f>
        <v>60406000</v>
      </c>
      <c r="K25" s="880">
        <f t="shared" si="8"/>
        <v>171542502.88000003</v>
      </c>
      <c r="L25" s="882">
        <f>SUM(L16:L24)</f>
        <v>224150598.40000001</v>
      </c>
      <c r="M25" s="880">
        <f t="shared" si="6"/>
        <v>0</v>
      </c>
      <c r="N25" s="880">
        <f t="shared" si="6"/>
        <v>0</v>
      </c>
      <c r="O25" s="880">
        <f t="shared" si="6"/>
        <v>106240960</v>
      </c>
      <c r="P25" s="880">
        <f t="shared" si="6"/>
        <v>0</v>
      </c>
      <c r="Q25" s="880">
        <f t="shared" si="6"/>
        <v>0</v>
      </c>
      <c r="R25" s="880">
        <f t="shared" si="6"/>
        <v>145240960</v>
      </c>
    </row>
    <row r="26" spans="1:21" ht="45.75" customHeight="1" x14ac:dyDescent="0.25">
      <c r="A26" s="1382" t="s">
        <v>686</v>
      </c>
      <c r="B26" s="1385" t="s">
        <v>691</v>
      </c>
      <c r="C26" s="879" t="s">
        <v>692</v>
      </c>
      <c r="D26" s="872">
        <v>27500000</v>
      </c>
      <c r="E26" s="1385" t="s">
        <v>691</v>
      </c>
      <c r="F26" s="879" t="s">
        <v>692</v>
      </c>
      <c r="G26" s="872">
        <f>2200000*11</f>
        <v>24200000</v>
      </c>
      <c r="H26" s="872"/>
      <c r="I26" s="859">
        <f>(2200000*11)*$H$5</f>
        <v>25168000</v>
      </c>
      <c r="J26" s="859"/>
      <c r="K26" s="859">
        <f t="shared" si="1"/>
        <v>25168000</v>
      </c>
      <c r="L26" s="873">
        <f>(2200000*11)*$H$5</f>
        <v>25168000</v>
      </c>
      <c r="M26" s="1385" t="s">
        <v>693</v>
      </c>
      <c r="N26" s="879" t="s">
        <v>692</v>
      </c>
      <c r="O26" s="872">
        <f>+D26</f>
        <v>27500000</v>
      </c>
      <c r="P26" s="1385" t="s">
        <v>694</v>
      </c>
      <c r="Q26" s="879" t="s">
        <v>692</v>
      </c>
      <c r="R26" s="872">
        <f>+O26</f>
        <v>27500000</v>
      </c>
    </row>
    <row r="27" spans="1:21" ht="90" customHeight="1" x14ac:dyDescent="0.25">
      <c r="A27" s="1383"/>
      <c r="B27" s="1386"/>
      <c r="C27" s="879" t="s">
        <v>695</v>
      </c>
      <c r="D27" s="872">
        <f>1*2000000*11</f>
        <v>22000000</v>
      </c>
      <c r="E27" s="1386"/>
      <c r="F27" s="879" t="s">
        <v>695</v>
      </c>
      <c r="G27" s="872">
        <f>1*2000000*11</f>
        <v>22000000</v>
      </c>
      <c r="H27" s="872"/>
      <c r="I27" s="859">
        <f>1*2000000*11</f>
        <v>22000000</v>
      </c>
      <c r="J27" s="859"/>
      <c r="K27" s="859">
        <f t="shared" si="1"/>
        <v>22000000</v>
      </c>
      <c r="L27" s="873">
        <f>1*2000000*11</f>
        <v>22000000</v>
      </c>
      <c r="M27" s="1386"/>
      <c r="N27" s="879" t="s">
        <v>696</v>
      </c>
      <c r="O27" s="872">
        <f>+D27*2</f>
        <v>44000000</v>
      </c>
      <c r="P27" s="1386"/>
      <c r="Q27" s="879" t="s">
        <v>697</v>
      </c>
      <c r="R27" s="872">
        <f>+O27</f>
        <v>44000000</v>
      </c>
    </row>
    <row r="28" spans="1:21" ht="45.75" customHeight="1" x14ac:dyDescent="0.25">
      <c r="A28" s="1384"/>
      <c r="B28" s="1387"/>
      <c r="C28" s="879" t="s">
        <v>698</v>
      </c>
      <c r="D28" s="901">
        <v>2000000</v>
      </c>
      <c r="E28" s="1387"/>
      <c r="F28" s="879" t="s">
        <v>698</v>
      </c>
      <c r="G28" s="901">
        <v>2000000</v>
      </c>
      <c r="H28" s="901"/>
      <c r="I28" s="897">
        <v>2000000</v>
      </c>
      <c r="J28" s="897"/>
      <c r="K28" s="859">
        <f t="shared" si="1"/>
        <v>2000000</v>
      </c>
      <c r="L28" s="898">
        <v>2000000</v>
      </c>
      <c r="M28" s="1387"/>
      <c r="N28" s="879" t="s">
        <v>698</v>
      </c>
      <c r="O28" s="872">
        <v>5000000</v>
      </c>
      <c r="P28" s="1387"/>
      <c r="Q28" s="879" t="s">
        <v>698</v>
      </c>
      <c r="R28" s="872">
        <v>5000000</v>
      </c>
    </row>
    <row r="29" spans="1:21" ht="30" customHeight="1" x14ac:dyDescent="0.25">
      <c r="A29" s="1390" t="s">
        <v>699</v>
      </c>
      <c r="B29" s="1391"/>
      <c r="C29" s="1392"/>
      <c r="D29" s="880">
        <f>SUM(D26:D28)</f>
        <v>51500000</v>
      </c>
      <c r="E29" s="880">
        <f t="shared" ref="E29:F29" si="9">SUM(E26:E28)</f>
        <v>0</v>
      </c>
      <c r="F29" s="880">
        <f t="shared" si="9"/>
        <v>0</v>
      </c>
      <c r="G29" s="880">
        <f>SUM(G26:G28)</f>
        <v>48200000</v>
      </c>
      <c r="H29" s="880"/>
      <c r="I29" s="881">
        <f>SUM(I26:I28)</f>
        <v>49168000</v>
      </c>
      <c r="J29" s="881">
        <f t="shared" ref="J29:K29" si="10">SUM(J26:J28)</f>
        <v>0</v>
      </c>
      <c r="K29" s="881">
        <f t="shared" si="10"/>
        <v>49168000</v>
      </c>
      <c r="L29" s="882">
        <f>SUM(L26:L28)</f>
        <v>49168000</v>
      </c>
      <c r="M29" s="880">
        <f t="shared" ref="M29:Q29" si="11">SUM(M26:M28)</f>
        <v>0</v>
      </c>
      <c r="N29" s="880">
        <f t="shared" si="11"/>
        <v>0</v>
      </c>
      <c r="O29" s="880">
        <f>SUM(O26:O28)</f>
        <v>76500000</v>
      </c>
      <c r="P29" s="880">
        <f t="shared" si="11"/>
        <v>0</v>
      </c>
      <c r="Q29" s="880">
        <f t="shared" si="11"/>
        <v>0</v>
      </c>
      <c r="R29" s="880">
        <f>SUM(R26:R28)</f>
        <v>76500000</v>
      </c>
    </row>
    <row r="30" spans="1:21" ht="30" customHeight="1" x14ac:dyDescent="0.25">
      <c r="A30" s="1395"/>
      <c r="B30" s="1396"/>
      <c r="C30" s="1397"/>
      <c r="D30" s="934"/>
      <c r="E30" s="936"/>
      <c r="F30" s="934"/>
      <c r="G30" s="934"/>
      <c r="H30" s="934"/>
      <c r="I30" s="934">
        <f>+I12+I15+I25+I29</f>
        <v>508980296.72000003</v>
      </c>
      <c r="J30" s="934">
        <f>+J12+J15+J25+J29</f>
        <v>60406000</v>
      </c>
      <c r="K30" s="934">
        <f>+I30+J30</f>
        <v>569386296.72000003</v>
      </c>
      <c r="L30" s="882"/>
      <c r="M30" s="935"/>
      <c r="N30" s="880"/>
      <c r="O30" s="880"/>
      <c r="P30" s="935"/>
      <c r="Q30" s="880"/>
      <c r="R30" s="880"/>
    </row>
    <row r="31" spans="1:21" ht="88.5" customHeight="1" x14ac:dyDescent="0.25">
      <c r="A31" s="1382" t="s">
        <v>700</v>
      </c>
      <c r="B31" s="1385" t="s">
        <v>705</v>
      </c>
      <c r="C31" s="879" t="s">
        <v>706</v>
      </c>
      <c r="D31" s="872">
        <f>30033333/9*11</f>
        <v>36707407</v>
      </c>
      <c r="E31" s="1385" t="s">
        <v>705</v>
      </c>
      <c r="F31" s="879" t="s">
        <v>706</v>
      </c>
      <c r="G31" s="872">
        <f>30033333/9*11</f>
        <v>36707407</v>
      </c>
      <c r="H31" s="872"/>
      <c r="I31" s="859">
        <f>(30033333/9*11)*$H$5</f>
        <v>38175703.280000001</v>
      </c>
      <c r="J31" s="859"/>
      <c r="K31" s="859">
        <f t="shared" si="1"/>
        <v>38175703.280000001</v>
      </c>
      <c r="L31" s="873">
        <f>(30033333/9*11)*$H$5</f>
        <v>38175703.280000001</v>
      </c>
      <c r="M31" s="1393" t="s">
        <v>705</v>
      </c>
      <c r="N31" s="879" t="s">
        <v>706</v>
      </c>
      <c r="O31" s="872">
        <f>+D31</f>
        <v>36707407</v>
      </c>
      <c r="P31" s="1393" t="s">
        <v>705</v>
      </c>
      <c r="Q31" s="879" t="s">
        <v>706</v>
      </c>
      <c r="R31" s="872">
        <f>+O31</f>
        <v>36707407</v>
      </c>
    </row>
    <row r="32" spans="1:21" ht="53.25" customHeight="1" x14ac:dyDescent="0.25">
      <c r="A32" s="1384"/>
      <c r="B32" s="1387"/>
      <c r="C32" s="879" t="s">
        <v>707</v>
      </c>
      <c r="D32" s="886"/>
      <c r="E32" s="1387"/>
      <c r="F32" s="879" t="s">
        <v>707</v>
      </c>
      <c r="G32" s="886"/>
      <c r="H32" s="886"/>
      <c r="I32" s="887"/>
      <c r="J32" s="887"/>
      <c r="K32" s="859">
        <f t="shared" si="1"/>
        <v>0</v>
      </c>
      <c r="L32" s="888"/>
      <c r="M32" s="1394"/>
      <c r="N32" s="879" t="s">
        <v>707</v>
      </c>
      <c r="O32" s="872">
        <v>6000000</v>
      </c>
      <c r="P32" s="1394"/>
      <c r="Q32" s="879" t="s">
        <v>707</v>
      </c>
      <c r="R32" s="872">
        <v>6000000</v>
      </c>
    </row>
    <row r="33" spans="1:20" ht="30" hidden="1" customHeight="1" x14ac:dyDescent="0.25">
      <c r="A33" s="1390" t="s">
        <v>708</v>
      </c>
      <c r="B33" s="1391"/>
      <c r="C33" s="1392"/>
      <c r="D33" s="880">
        <f>SUM(D31:D32)</f>
        <v>36707407</v>
      </c>
      <c r="E33" s="880">
        <f t="shared" ref="E33:F33" si="12">SUM(E31:E32)</f>
        <v>0</v>
      </c>
      <c r="F33" s="880">
        <f t="shared" si="12"/>
        <v>0</v>
      </c>
      <c r="G33" s="880">
        <f>SUM(G31:G32)</f>
        <v>36707407</v>
      </c>
      <c r="H33" s="880"/>
      <c r="I33" s="880">
        <f>SUM(I31:I32)</f>
        <v>38175703.280000001</v>
      </c>
      <c r="J33" s="880">
        <f t="shared" ref="J33:K33" si="13">SUM(J31:J32)</f>
        <v>0</v>
      </c>
      <c r="K33" s="880">
        <f t="shared" si="13"/>
        <v>38175703.280000001</v>
      </c>
      <c r="L33" s="882">
        <f>SUM(L31:L32)</f>
        <v>38175703.280000001</v>
      </c>
      <c r="M33" s="880">
        <f t="shared" ref="M33:R33" si="14">SUM(M31:M32)</f>
        <v>0</v>
      </c>
      <c r="N33" s="880">
        <f t="shared" si="14"/>
        <v>0</v>
      </c>
      <c r="O33" s="880">
        <f t="shared" si="14"/>
        <v>42707407</v>
      </c>
      <c r="P33" s="880">
        <f t="shared" si="14"/>
        <v>0</v>
      </c>
      <c r="Q33" s="880">
        <f t="shared" si="14"/>
        <v>0</v>
      </c>
      <c r="R33" s="880">
        <f t="shared" si="14"/>
        <v>42707407</v>
      </c>
      <c r="T33" s="894">
        <f>+I33+I40+I43</f>
        <v>110019703.28</v>
      </c>
    </row>
    <row r="34" spans="1:20" ht="68.25" customHeight="1" x14ac:dyDescent="0.25">
      <c r="A34" s="1382" t="s">
        <v>709</v>
      </c>
      <c r="B34" s="1385" t="s">
        <v>714</v>
      </c>
      <c r="C34" s="879" t="s">
        <v>713</v>
      </c>
      <c r="D34" s="872">
        <f>((3600000*12))</f>
        <v>43200000</v>
      </c>
      <c r="E34" s="1385" t="s">
        <v>714</v>
      </c>
      <c r="F34" s="879" t="s">
        <v>713</v>
      </c>
      <c r="G34" s="872">
        <f>((3600000*12))</f>
        <v>43200000</v>
      </c>
      <c r="H34" s="872"/>
      <c r="I34" s="859">
        <f>((3600000*12))*$H$5</f>
        <v>44928000</v>
      </c>
      <c r="J34" s="859"/>
      <c r="K34" s="859">
        <f t="shared" si="1"/>
        <v>44928000</v>
      </c>
      <c r="L34" s="873">
        <f>((4000000*12))</f>
        <v>48000000</v>
      </c>
      <c r="M34" s="1385" t="s">
        <v>715</v>
      </c>
      <c r="N34" s="879" t="s">
        <v>716</v>
      </c>
      <c r="O34" s="872">
        <f>+D34</f>
        <v>43200000</v>
      </c>
      <c r="P34" s="1385" t="s">
        <v>715</v>
      </c>
      <c r="Q34" s="879" t="s">
        <v>716</v>
      </c>
      <c r="R34" s="872">
        <f>+O34</f>
        <v>43200000</v>
      </c>
    </row>
    <row r="35" spans="1:20" ht="68.25" customHeight="1" x14ac:dyDescent="0.25">
      <c r="A35" s="1383"/>
      <c r="B35" s="1386"/>
      <c r="C35" s="879" t="s">
        <v>717</v>
      </c>
      <c r="D35" s="872">
        <f>+(3400000*6)</f>
        <v>20400000</v>
      </c>
      <c r="E35" s="1386"/>
      <c r="F35" s="879" t="s">
        <v>717</v>
      </c>
      <c r="G35" s="872">
        <f>+(3400000*6)</f>
        <v>20400000</v>
      </c>
      <c r="H35" s="872"/>
      <c r="I35" s="859">
        <f>+(3400000*6)*$H$5</f>
        <v>21216000</v>
      </c>
      <c r="J35" s="859"/>
      <c r="K35" s="859">
        <f t="shared" si="1"/>
        <v>21216000</v>
      </c>
      <c r="L35" s="873">
        <f>+(3400000*6)*$H$5</f>
        <v>21216000</v>
      </c>
      <c r="M35" s="1386"/>
      <c r="N35" s="879"/>
      <c r="O35" s="872"/>
      <c r="P35" s="1386"/>
      <c r="Q35" s="879"/>
      <c r="R35" s="872"/>
    </row>
    <row r="36" spans="1:20" ht="68.25" customHeight="1" x14ac:dyDescent="0.25">
      <c r="A36" s="1383"/>
      <c r="B36" s="1386"/>
      <c r="C36" s="879" t="s">
        <v>718</v>
      </c>
      <c r="D36" s="872">
        <f>37*100000</f>
        <v>3700000</v>
      </c>
      <c r="E36" s="1386"/>
      <c r="F36" s="879" t="s">
        <v>718</v>
      </c>
      <c r="G36" s="872">
        <f>37*100000</f>
        <v>3700000</v>
      </c>
      <c r="H36" s="872"/>
      <c r="I36" s="859">
        <f>37*100000</f>
        <v>3700000</v>
      </c>
      <c r="J36" s="859"/>
      <c r="K36" s="859">
        <f t="shared" si="1"/>
        <v>3700000</v>
      </c>
      <c r="L36" s="873">
        <f>37*100000</f>
        <v>3700000</v>
      </c>
      <c r="M36" s="1386"/>
      <c r="N36" s="879"/>
      <c r="O36" s="872"/>
      <c r="P36" s="1386"/>
      <c r="Q36" s="879"/>
      <c r="R36" s="872"/>
    </row>
    <row r="37" spans="1:20" ht="1.5" customHeight="1" x14ac:dyDescent="0.25">
      <c r="A37" s="1383"/>
      <c r="B37" s="1386"/>
      <c r="C37" s="879"/>
      <c r="D37" s="872"/>
      <c r="E37" s="1386"/>
      <c r="F37" s="879"/>
      <c r="G37" s="872"/>
      <c r="H37" s="872"/>
      <c r="I37" s="859"/>
      <c r="J37" s="859"/>
      <c r="K37" s="859">
        <f t="shared" si="1"/>
        <v>0</v>
      </c>
      <c r="L37" s="873"/>
      <c r="M37" s="1386"/>
      <c r="N37" s="879"/>
      <c r="O37" s="872"/>
      <c r="P37" s="1386"/>
      <c r="Q37" s="879"/>
      <c r="R37" s="872"/>
    </row>
    <row r="38" spans="1:20" ht="68.25" customHeight="1" x14ac:dyDescent="0.25">
      <c r="A38" s="1383"/>
      <c r="B38" s="1386"/>
      <c r="C38" s="879" t="s">
        <v>720</v>
      </c>
      <c r="D38" s="872"/>
      <c r="E38" s="1386"/>
      <c r="F38" s="879" t="s">
        <v>720</v>
      </c>
      <c r="G38" s="872"/>
      <c r="H38" s="872"/>
      <c r="I38" s="859"/>
      <c r="J38" s="859"/>
      <c r="K38" s="859">
        <f t="shared" si="1"/>
        <v>0</v>
      </c>
      <c r="L38" s="873"/>
      <c r="M38" s="1386"/>
      <c r="N38" s="879" t="s">
        <v>721</v>
      </c>
      <c r="O38" s="872">
        <v>3500000</v>
      </c>
      <c r="P38" s="1386"/>
      <c r="Q38" s="879" t="s">
        <v>721</v>
      </c>
      <c r="R38" s="872">
        <v>3500000</v>
      </c>
    </row>
    <row r="39" spans="1:20" ht="68.25" customHeight="1" x14ac:dyDescent="0.25">
      <c r="A39" s="1384"/>
      <c r="B39" s="1387"/>
      <c r="C39" s="879" t="s">
        <v>721</v>
      </c>
      <c r="D39" s="886"/>
      <c r="E39" s="1387"/>
      <c r="F39" s="879" t="s">
        <v>721</v>
      </c>
      <c r="G39" s="886"/>
      <c r="H39" s="886"/>
      <c r="I39" s="887"/>
      <c r="J39" s="887"/>
      <c r="K39" s="859">
        <f t="shared" si="1"/>
        <v>0</v>
      </c>
      <c r="L39" s="888"/>
      <c r="M39" s="1387"/>
      <c r="N39" s="879" t="s">
        <v>721</v>
      </c>
      <c r="O39" s="872">
        <v>2000000</v>
      </c>
      <c r="P39" s="1387"/>
      <c r="Q39" s="879" t="s">
        <v>721</v>
      </c>
      <c r="R39" s="872">
        <v>2000000</v>
      </c>
    </row>
    <row r="40" spans="1:20" ht="30" hidden="1" customHeight="1" x14ac:dyDescent="0.25">
      <c r="A40" s="1390" t="s">
        <v>722</v>
      </c>
      <c r="B40" s="1391"/>
      <c r="C40" s="1392"/>
      <c r="D40" s="880">
        <f t="shared" ref="D40:R40" si="15">SUM(D34:D39)</f>
        <v>67300000</v>
      </c>
      <c r="E40" s="880">
        <f t="shared" si="15"/>
        <v>0</v>
      </c>
      <c r="F40" s="880">
        <f t="shared" si="15"/>
        <v>0</v>
      </c>
      <c r="G40" s="880">
        <f t="shared" si="15"/>
        <v>67300000</v>
      </c>
      <c r="H40" s="880"/>
      <c r="I40" s="880">
        <f t="shared" si="15"/>
        <v>69844000</v>
      </c>
      <c r="J40" s="880">
        <f t="shared" si="15"/>
        <v>0</v>
      </c>
      <c r="K40" s="880">
        <f t="shared" si="15"/>
        <v>69844000</v>
      </c>
      <c r="L40" s="882">
        <f t="shared" si="15"/>
        <v>72916000</v>
      </c>
      <c r="M40" s="880">
        <f t="shared" si="15"/>
        <v>0</v>
      </c>
      <c r="N40" s="880">
        <f t="shared" si="15"/>
        <v>0</v>
      </c>
      <c r="O40" s="880">
        <f t="shared" si="15"/>
        <v>48700000</v>
      </c>
      <c r="P40" s="880">
        <f t="shared" si="15"/>
        <v>0</v>
      </c>
      <c r="Q40" s="880">
        <f t="shared" si="15"/>
        <v>0</v>
      </c>
      <c r="R40" s="880">
        <f t="shared" si="15"/>
        <v>48700000</v>
      </c>
    </row>
    <row r="41" spans="1:20" ht="101.25" customHeight="1" x14ac:dyDescent="0.25">
      <c r="A41" s="1382" t="s">
        <v>723</v>
      </c>
      <c r="B41" s="1388" t="s">
        <v>728</v>
      </c>
      <c r="C41" s="858" t="s">
        <v>727</v>
      </c>
      <c r="D41" s="872">
        <v>2000000</v>
      </c>
      <c r="E41" s="1388" t="s">
        <v>728</v>
      </c>
      <c r="F41" s="858" t="s">
        <v>727</v>
      </c>
      <c r="G41" s="872">
        <v>2000000</v>
      </c>
      <c r="H41" s="872"/>
      <c r="I41" s="859">
        <v>2000000</v>
      </c>
      <c r="J41" s="859"/>
      <c r="K41" s="859">
        <f t="shared" si="1"/>
        <v>2000000</v>
      </c>
      <c r="L41" s="873">
        <v>2000000</v>
      </c>
      <c r="M41" s="1388" t="s">
        <v>729</v>
      </c>
      <c r="N41" s="858" t="s">
        <v>727</v>
      </c>
      <c r="O41" s="872">
        <f>D41*1.03</f>
        <v>2060000</v>
      </c>
      <c r="P41" s="1388" t="s">
        <v>730</v>
      </c>
      <c r="Q41" s="858" t="s">
        <v>727</v>
      </c>
      <c r="R41" s="872">
        <f>O41*1.03</f>
        <v>2121800</v>
      </c>
    </row>
    <row r="42" spans="1:20" ht="81" customHeight="1" x14ac:dyDescent="0.25">
      <c r="A42" s="1384"/>
      <c r="B42" s="1389"/>
      <c r="C42" s="858"/>
      <c r="D42" s="872"/>
      <c r="E42" s="1389"/>
      <c r="F42" s="858"/>
      <c r="G42" s="872"/>
      <c r="H42" s="872"/>
      <c r="I42" s="859"/>
      <c r="J42" s="859"/>
      <c r="K42" s="859">
        <f t="shared" si="1"/>
        <v>0</v>
      </c>
      <c r="L42" s="873"/>
      <c r="M42" s="1389"/>
      <c r="N42" s="858"/>
      <c r="O42" s="858"/>
      <c r="P42" s="1389"/>
      <c r="Q42" s="891"/>
      <c r="R42" s="892"/>
    </row>
    <row r="43" spans="1:20" ht="30" customHeight="1" x14ac:dyDescent="0.25">
      <c r="A43" s="1390" t="s">
        <v>731</v>
      </c>
      <c r="B43" s="1391"/>
      <c r="C43" s="1392"/>
      <c r="D43" s="880">
        <f>SUM(D41:D42)</f>
        <v>2000000</v>
      </c>
      <c r="E43" s="880">
        <f t="shared" ref="E43:F43" si="16">SUM(E41:E42)</f>
        <v>0</v>
      </c>
      <c r="F43" s="880">
        <f t="shared" si="16"/>
        <v>0</v>
      </c>
      <c r="G43" s="880">
        <f>SUM(G41:G42)</f>
        <v>2000000</v>
      </c>
      <c r="H43" s="880"/>
      <c r="I43" s="880">
        <f>SUM(I41:I42)</f>
        <v>2000000</v>
      </c>
      <c r="J43" s="880"/>
      <c r="K43" s="937">
        <f t="shared" si="1"/>
        <v>2000000</v>
      </c>
      <c r="L43" s="882">
        <f>SUM(L41:L42)</f>
        <v>2000000</v>
      </c>
      <c r="M43" s="880">
        <f t="shared" ref="M43:R43" si="17">SUM(M41:M42)</f>
        <v>0</v>
      </c>
      <c r="N43" s="880">
        <f t="shared" si="17"/>
        <v>0</v>
      </c>
      <c r="O43" s="880">
        <f t="shared" si="17"/>
        <v>2060000</v>
      </c>
      <c r="P43" s="880">
        <f t="shared" si="17"/>
        <v>0</v>
      </c>
      <c r="Q43" s="880">
        <f t="shared" si="17"/>
        <v>0</v>
      </c>
      <c r="R43" s="880">
        <f t="shared" si="17"/>
        <v>2121800</v>
      </c>
    </row>
    <row r="44" spans="1:20" ht="15.75" x14ac:dyDescent="0.25">
      <c r="A44" s="1395"/>
      <c r="B44" s="1396"/>
      <c r="C44" s="1397"/>
      <c r="D44" s="934"/>
      <c r="E44" s="934"/>
      <c r="F44" s="934"/>
      <c r="G44" s="934"/>
      <c r="H44" s="934"/>
      <c r="I44" s="934">
        <f>+I33+I40+I43</f>
        <v>110019703.28</v>
      </c>
      <c r="J44" s="934">
        <f t="shared" ref="J44" si="18">+J33+J40+J43</f>
        <v>0</v>
      </c>
      <c r="K44" s="934">
        <f>+I44+J44</f>
        <v>110019703.28</v>
      </c>
      <c r="L44" s="882"/>
      <c r="M44" s="880"/>
      <c r="N44" s="880"/>
      <c r="O44" s="880"/>
      <c r="P44" s="880"/>
      <c r="Q44" s="880"/>
      <c r="R44" s="880"/>
    </row>
    <row r="45" spans="1:20" ht="18.75" x14ac:dyDescent="0.25">
      <c r="A45" s="1398" t="s">
        <v>732</v>
      </c>
      <c r="B45" s="1399"/>
      <c r="C45" s="1400"/>
      <c r="D45" s="938">
        <f t="shared" ref="D45:R45" si="19">D43+D40+D33+D29+D25+D15+D12</f>
        <v>889704818</v>
      </c>
      <c r="E45" s="938">
        <f t="shared" si="19"/>
        <v>0</v>
      </c>
      <c r="F45" s="938">
        <f t="shared" si="19"/>
        <v>0</v>
      </c>
      <c r="G45" s="938">
        <f t="shared" si="19"/>
        <v>624963576.39999998</v>
      </c>
      <c r="H45" s="938"/>
      <c r="I45" s="938">
        <f>+I30+I44</f>
        <v>619000000</v>
      </c>
      <c r="J45" s="938">
        <f>+J30+J44</f>
        <v>60406000</v>
      </c>
      <c r="K45" s="938">
        <f>+I45+J45</f>
        <v>679406000</v>
      </c>
      <c r="L45" s="903">
        <f>L43+L40+L33+L29+L25+L15+L12</f>
        <v>735086095.51999998</v>
      </c>
      <c r="M45" s="902">
        <f t="shared" si="19"/>
        <v>0</v>
      </c>
      <c r="N45" s="902">
        <f t="shared" si="19"/>
        <v>0</v>
      </c>
      <c r="O45" s="902">
        <f t="shared" si="19"/>
        <v>682735671</v>
      </c>
      <c r="P45" s="902">
        <f t="shared" si="19"/>
        <v>0</v>
      </c>
      <c r="Q45" s="902">
        <f t="shared" si="19"/>
        <v>0</v>
      </c>
      <c r="R45" s="902">
        <f t="shared" si="19"/>
        <v>711797471</v>
      </c>
    </row>
    <row r="46" spans="1:20" hidden="1" x14ac:dyDescent="0.25">
      <c r="D46" s="906" t="e">
        <f>+D45-#REF!</f>
        <v>#REF!</v>
      </c>
      <c r="G46" s="906" t="e">
        <f>+G45-#REF!</f>
        <v>#REF!</v>
      </c>
      <c r="H46" s="906"/>
      <c r="I46" s="907" t="e">
        <f>+I45-#REF!</f>
        <v>#REF!</v>
      </c>
      <c r="J46" s="907"/>
      <c r="K46" s="907"/>
      <c r="L46" s="908">
        <f>+L45-B45</f>
        <v>735086095.51999998</v>
      </c>
    </row>
    <row r="47" spans="1:20" hidden="1" x14ac:dyDescent="0.25">
      <c r="D47" s="909" t="e">
        <f>+(D45-#REF!)/#REF!</f>
        <v>#REF!</v>
      </c>
      <c r="G47" s="909" t="e">
        <f>+(G45-#REF!)/#REF!</f>
        <v>#REF!</v>
      </c>
      <c r="H47" s="909"/>
      <c r="I47" s="910" t="e">
        <f>+(I45-#REF!)/#REF!</f>
        <v>#REF!</v>
      </c>
      <c r="J47" s="910"/>
      <c r="K47" s="910"/>
      <c r="L47" s="911" t="e">
        <f>+(L45-B45)/B45</f>
        <v>#DIV/0!</v>
      </c>
    </row>
    <row r="48" spans="1:20" hidden="1" x14ac:dyDescent="0.25">
      <c r="D48" s="906"/>
      <c r="G48" s="906"/>
      <c r="H48" s="906"/>
      <c r="I48" s="907"/>
      <c r="J48" s="907"/>
      <c r="K48" s="907"/>
      <c r="L48" s="908"/>
      <c r="M48" s="906"/>
    </row>
    <row r="49" spans="1:18" x14ac:dyDescent="0.25">
      <c r="C49" s="912"/>
      <c r="D49" s="913"/>
      <c r="G49" s="913"/>
      <c r="H49" s="913"/>
      <c r="I49" s="914"/>
      <c r="J49" s="914"/>
      <c r="K49" s="914"/>
      <c r="L49" s="915">
        <v>474000000</v>
      </c>
    </row>
    <row r="50" spans="1:18" s="917" customFormat="1" x14ac:dyDescent="0.25">
      <c r="A50" s="916"/>
      <c r="D50" s="918"/>
      <c r="G50" s="918"/>
      <c r="H50" s="918"/>
      <c r="I50" s="919"/>
      <c r="J50" s="919"/>
      <c r="K50" s="919"/>
      <c r="L50" s="920">
        <f>+L45-L49</f>
        <v>261086095.51999998</v>
      </c>
      <c r="R50" s="921"/>
    </row>
    <row r="51" spans="1:18" s="929" customFormat="1" x14ac:dyDescent="0.25">
      <c r="A51" s="922"/>
      <c r="B51" s="923"/>
      <c r="C51" s="924"/>
      <c r="D51" s="925"/>
      <c r="E51" s="924"/>
      <c r="F51" s="924"/>
      <c r="G51" s="925"/>
      <c r="H51" s="925"/>
      <c r="I51" s="926"/>
      <c r="J51" s="926"/>
      <c r="K51" s="926"/>
      <c r="L51" s="927">
        <f>+L25</f>
        <v>224150598.40000001</v>
      </c>
      <c r="M51" s="928"/>
      <c r="N51" s="923"/>
      <c r="O51" s="923"/>
      <c r="P51" s="923"/>
      <c r="Q51" s="923"/>
    </row>
    <row r="52" spans="1:18" x14ac:dyDescent="0.25">
      <c r="D52" s="913"/>
      <c r="G52" s="913"/>
      <c r="H52" s="913"/>
      <c r="I52" s="914"/>
      <c r="J52" s="914"/>
      <c r="K52" s="914"/>
      <c r="L52" s="915"/>
    </row>
    <row r="53" spans="1:18" s="905" customFormat="1" x14ac:dyDescent="0.25">
      <c r="A53" s="904"/>
      <c r="D53" s="930"/>
      <c r="G53" s="930"/>
      <c r="H53" s="930"/>
      <c r="I53" s="919"/>
      <c r="J53" s="919"/>
      <c r="K53" s="919"/>
      <c r="L53" s="920"/>
      <c r="R53"/>
    </row>
    <row r="54" spans="1:18" s="905" customFormat="1" x14ac:dyDescent="0.25">
      <c r="A54" s="904"/>
      <c r="D54" s="913"/>
      <c r="G54" s="913"/>
      <c r="H54" s="913"/>
      <c r="I54" s="914"/>
      <c r="J54" s="914"/>
      <c r="K54" s="914"/>
      <c r="L54" s="915">
        <f>[3]RECURSOS!$N$22*-1</f>
        <v>319000000</v>
      </c>
      <c r="R54"/>
    </row>
    <row r="55" spans="1:18" s="905" customFormat="1" x14ac:dyDescent="0.25">
      <c r="A55" s="904"/>
      <c r="D55" s="913"/>
      <c r="G55" s="913"/>
      <c r="H55" s="913"/>
      <c r="I55" s="919"/>
      <c r="J55" s="919"/>
      <c r="K55" s="919"/>
      <c r="L55" s="920">
        <f>+L54+L50</f>
        <v>580086095.51999998</v>
      </c>
      <c r="R55"/>
    </row>
    <row r="57" spans="1:18" x14ac:dyDescent="0.25">
      <c r="I57" s="931"/>
      <c r="J57" s="931"/>
      <c r="K57" s="931"/>
    </row>
    <row r="58" spans="1:18" x14ac:dyDescent="0.25">
      <c r="I58" s="933"/>
      <c r="J58" s="933"/>
      <c r="K58" s="933"/>
    </row>
  </sheetData>
  <mergeCells count="50">
    <mergeCell ref="A43:C43"/>
    <mergeCell ref="A30:C30"/>
    <mergeCell ref="A45:C45"/>
    <mergeCell ref="A44:C44"/>
    <mergeCell ref="A12:C12"/>
    <mergeCell ref="A13:A14"/>
    <mergeCell ref="B13:B14"/>
    <mergeCell ref="M41:M42"/>
    <mergeCell ref="P41:P42"/>
    <mergeCell ref="A29:C29"/>
    <mergeCell ref="A33:C33"/>
    <mergeCell ref="A15:C15"/>
    <mergeCell ref="A25:C25"/>
    <mergeCell ref="A40:C40"/>
    <mergeCell ref="M34:M39"/>
    <mergeCell ref="P34:P39"/>
    <mergeCell ref="A41:A42"/>
    <mergeCell ref="B41:B42"/>
    <mergeCell ref="E41:E42"/>
    <mergeCell ref="M31:M32"/>
    <mergeCell ref="P31:P32"/>
    <mergeCell ref="A34:A39"/>
    <mergeCell ref="B34:B39"/>
    <mergeCell ref="P16:P24"/>
    <mergeCell ref="A26:A28"/>
    <mergeCell ref="B26:B28"/>
    <mergeCell ref="E26:E28"/>
    <mergeCell ref="E34:E39"/>
    <mergeCell ref="M26:M28"/>
    <mergeCell ref="P26:P28"/>
    <mergeCell ref="A31:A32"/>
    <mergeCell ref="B31:B32"/>
    <mergeCell ref="E31:E32"/>
    <mergeCell ref="E13:E14"/>
    <mergeCell ref="M13:M14"/>
    <mergeCell ref="A16:A24"/>
    <mergeCell ref="B16:B24"/>
    <mergeCell ref="E16:E24"/>
    <mergeCell ref="M16:M24"/>
    <mergeCell ref="I2:K2"/>
    <mergeCell ref="M2:O2"/>
    <mergeCell ref="P2:R2"/>
    <mergeCell ref="A5:A11"/>
    <mergeCell ref="B5:B11"/>
    <mergeCell ref="A1:A3"/>
    <mergeCell ref="B2:D2"/>
    <mergeCell ref="E2:F2"/>
    <mergeCell ref="E5:E11"/>
    <mergeCell ref="M5:M11"/>
    <mergeCell ref="P5:P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workbookViewId="0">
      <selection activeCell="R5" sqref="R5"/>
    </sheetView>
  </sheetViews>
  <sheetFormatPr baseColWidth="10" defaultRowHeight="15" x14ac:dyDescent="0.25"/>
  <cols>
    <col min="1" max="1" width="1" customWidth="1"/>
    <col min="2" max="8" width="11.42578125" hidden="1" customWidth="1"/>
    <col min="13" max="13" width="21.28515625" customWidth="1"/>
  </cols>
  <sheetData>
    <row r="1" spans="1:25" x14ac:dyDescent="0.25">
      <c r="A1" t="s">
        <v>625</v>
      </c>
      <c r="B1" t="s">
        <v>626</v>
      </c>
      <c r="F1">
        <v>2017</v>
      </c>
      <c r="I1" t="s">
        <v>627</v>
      </c>
      <c r="L1" t="s">
        <v>627</v>
      </c>
      <c r="S1" t="s">
        <v>628</v>
      </c>
    </row>
    <row r="2" spans="1:25" x14ac:dyDescent="0.25">
      <c r="C2" t="s">
        <v>629</v>
      </c>
      <c r="E2" t="s">
        <v>630</v>
      </c>
      <c r="I2" t="s">
        <v>631</v>
      </c>
      <c r="L2" t="s">
        <v>632</v>
      </c>
      <c r="P2">
        <v>2018</v>
      </c>
      <c r="T2">
        <v>2019</v>
      </c>
      <c r="W2">
        <v>2020</v>
      </c>
    </row>
    <row r="3" spans="1:25" x14ac:dyDescent="0.25">
      <c r="C3" t="s">
        <v>633</v>
      </c>
      <c r="E3" t="s">
        <v>633</v>
      </c>
      <c r="G3" t="s">
        <v>634</v>
      </c>
      <c r="H3" t="s">
        <v>635</v>
      </c>
      <c r="I3" t="s">
        <v>636</v>
      </c>
      <c r="J3" t="s">
        <v>637</v>
      </c>
      <c r="K3" t="s">
        <v>638</v>
      </c>
      <c r="L3" t="s">
        <v>636</v>
      </c>
      <c r="M3" t="s">
        <v>637</v>
      </c>
      <c r="N3" t="s">
        <v>638</v>
      </c>
      <c r="P3" t="s">
        <v>638</v>
      </c>
      <c r="S3" t="s">
        <v>638</v>
      </c>
      <c r="T3" t="s">
        <v>636</v>
      </c>
      <c r="U3" t="s">
        <v>637</v>
      </c>
      <c r="V3" t="s">
        <v>638</v>
      </c>
      <c r="W3" t="s">
        <v>636</v>
      </c>
      <c r="X3" t="s">
        <v>637</v>
      </c>
      <c r="Y3" t="s">
        <v>638</v>
      </c>
    </row>
    <row r="4" spans="1:25" x14ac:dyDescent="0.25">
      <c r="P4" t="s">
        <v>5</v>
      </c>
      <c r="Q4" t="s">
        <v>639</v>
      </c>
      <c r="R4" t="s">
        <v>7</v>
      </c>
    </row>
    <row r="5" spans="1:25" x14ac:dyDescent="0.25">
      <c r="A5" t="s">
        <v>640</v>
      </c>
      <c r="B5" t="s">
        <v>641</v>
      </c>
      <c r="C5" t="s">
        <v>642</v>
      </c>
      <c r="D5">
        <v>224454607</v>
      </c>
      <c r="E5" t="s">
        <v>643</v>
      </c>
      <c r="F5" t="s">
        <v>623</v>
      </c>
      <c r="G5">
        <v>44250000</v>
      </c>
      <c r="H5">
        <v>243586077</v>
      </c>
      <c r="I5" t="s">
        <v>644</v>
      </c>
      <c r="J5" t="s">
        <v>623</v>
      </c>
      <c r="K5">
        <v>49500000</v>
      </c>
      <c r="L5" t="s">
        <v>644</v>
      </c>
      <c r="M5" t="s">
        <v>623</v>
      </c>
      <c r="N5">
        <v>49500000</v>
      </c>
      <c r="O5">
        <v>1.04</v>
      </c>
      <c r="P5">
        <v>51480000</v>
      </c>
      <c r="R5">
        <v>51480000</v>
      </c>
      <c r="S5">
        <v>51480000</v>
      </c>
      <c r="T5" t="s">
        <v>645</v>
      </c>
      <c r="U5" t="s">
        <v>623</v>
      </c>
      <c r="V5">
        <v>54000000</v>
      </c>
      <c r="W5" t="s">
        <v>646</v>
      </c>
      <c r="X5" t="s">
        <v>623</v>
      </c>
      <c r="Y5">
        <v>54000000</v>
      </c>
    </row>
    <row r="6" spans="1:25" x14ac:dyDescent="0.25">
      <c r="F6" t="s">
        <v>624</v>
      </c>
      <c r="G6">
        <v>43200000</v>
      </c>
      <c r="J6" t="s">
        <v>624</v>
      </c>
      <c r="K6">
        <v>49500000</v>
      </c>
      <c r="M6" t="s">
        <v>624</v>
      </c>
      <c r="N6">
        <v>49500000</v>
      </c>
      <c r="P6">
        <v>51480000</v>
      </c>
      <c r="R6">
        <v>51480000</v>
      </c>
      <c r="S6">
        <v>51480000</v>
      </c>
      <c r="U6" t="s">
        <v>624</v>
      </c>
      <c r="V6">
        <v>54000000</v>
      </c>
      <c r="X6" t="s">
        <v>624</v>
      </c>
      <c r="Y6">
        <v>54000000</v>
      </c>
    </row>
    <row r="7" spans="1:25" x14ac:dyDescent="0.25">
      <c r="F7" t="s">
        <v>624</v>
      </c>
      <c r="G7">
        <v>37601667</v>
      </c>
      <c r="J7" t="s">
        <v>624</v>
      </c>
      <c r="K7">
        <v>42350000</v>
      </c>
      <c r="M7" t="s">
        <v>624</v>
      </c>
      <c r="N7">
        <v>42350000</v>
      </c>
      <c r="P7">
        <v>44044000</v>
      </c>
      <c r="R7">
        <v>44044000</v>
      </c>
      <c r="S7">
        <v>44044000</v>
      </c>
      <c r="U7" t="s">
        <v>624</v>
      </c>
      <c r="V7">
        <v>46200000</v>
      </c>
      <c r="X7" t="s">
        <v>624</v>
      </c>
      <c r="Y7">
        <v>46200000</v>
      </c>
    </row>
    <row r="8" spans="1:25" x14ac:dyDescent="0.25">
      <c r="F8" t="s">
        <v>647</v>
      </c>
      <c r="G8">
        <v>31500000</v>
      </c>
      <c r="J8" t="s">
        <v>647</v>
      </c>
      <c r="K8">
        <v>33000000</v>
      </c>
      <c r="M8" t="s">
        <v>647</v>
      </c>
      <c r="N8">
        <v>33000000</v>
      </c>
      <c r="P8">
        <v>34320000</v>
      </c>
      <c r="R8">
        <v>34320000</v>
      </c>
      <c r="S8">
        <v>34320000</v>
      </c>
      <c r="U8" t="s">
        <v>647</v>
      </c>
      <c r="V8">
        <v>36000000</v>
      </c>
      <c r="X8" t="s">
        <v>647</v>
      </c>
      <c r="Y8">
        <v>36000000</v>
      </c>
    </row>
    <row r="9" spans="1:25" x14ac:dyDescent="0.25">
      <c r="F9" t="s">
        <v>647</v>
      </c>
      <c r="G9">
        <v>70324410</v>
      </c>
      <c r="J9" t="s">
        <v>647</v>
      </c>
      <c r="K9">
        <v>77356851</v>
      </c>
      <c r="M9" t="s">
        <v>647</v>
      </c>
      <c r="N9">
        <v>77356851</v>
      </c>
      <c r="P9">
        <v>80451125.040000007</v>
      </c>
      <c r="R9">
        <v>80451125.040000007</v>
      </c>
      <c r="S9">
        <v>80451125.040000007</v>
      </c>
      <c r="U9" t="s">
        <v>647</v>
      </c>
      <c r="V9">
        <v>84389292</v>
      </c>
      <c r="X9" t="s">
        <v>647</v>
      </c>
      <c r="Y9">
        <v>84389292</v>
      </c>
    </row>
    <row r="10" spans="1:25" x14ac:dyDescent="0.25">
      <c r="F10" t="s">
        <v>647</v>
      </c>
      <c r="G10">
        <v>0</v>
      </c>
      <c r="J10" t="s">
        <v>647</v>
      </c>
      <c r="K10">
        <v>55220880</v>
      </c>
      <c r="M10" t="s">
        <v>647</v>
      </c>
      <c r="P10">
        <v>30000000</v>
      </c>
      <c r="R10">
        <v>30000000</v>
      </c>
      <c r="S10">
        <v>30000000</v>
      </c>
      <c r="U10" t="s">
        <v>647</v>
      </c>
      <c r="V10">
        <v>84389292</v>
      </c>
      <c r="X10" t="s">
        <v>647</v>
      </c>
      <c r="Y10">
        <v>84389292</v>
      </c>
    </row>
    <row r="11" spans="1:25" x14ac:dyDescent="0.25">
      <c r="F11" t="s">
        <v>648</v>
      </c>
      <c r="G11">
        <v>10710000</v>
      </c>
      <c r="J11" t="s">
        <v>648</v>
      </c>
      <c r="K11">
        <v>17850000</v>
      </c>
      <c r="M11" t="s">
        <v>648</v>
      </c>
      <c r="N11">
        <v>17850000</v>
      </c>
      <c r="P11">
        <v>17850000</v>
      </c>
      <c r="R11">
        <v>17850000</v>
      </c>
      <c r="S11">
        <v>17850000</v>
      </c>
    </row>
    <row r="12" spans="1:25" x14ac:dyDescent="0.25">
      <c r="A12" t="s">
        <v>649</v>
      </c>
      <c r="C12">
        <v>0</v>
      </c>
      <c r="E12">
        <v>0</v>
      </c>
      <c r="G12">
        <v>237586077</v>
      </c>
      <c r="I12">
        <v>0</v>
      </c>
      <c r="J12">
        <v>0</v>
      </c>
      <c r="K12">
        <v>324777731</v>
      </c>
      <c r="L12">
        <v>0</v>
      </c>
      <c r="M12">
        <v>0</v>
      </c>
      <c r="N12">
        <v>269556851</v>
      </c>
      <c r="P12">
        <v>309625125.04000002</v>
      </c>
      <c r="Q12">
        <v>0</v>
      </c>
      <c r="R12">
        <v>309625125.04000002</v>
      </c>
      <c r="S12">
        <v>309625125.04000002</v>
      </c>
      <c r="U12">
        <v>0</v>
      </c>
      <c r="V12">
        <v>358978584</v>
      </c>
      <c r="W12">
        <v>0</v>
      </c>
      <c r="X12">
        <v>0</v>
      </c>
      <c r="Y12">
        <v>358978584</v>
      </c>
    </row>
    <row r="13" spans="1:25" x14ac:dyDescent="0.25">
      <c r="A13" t="s">
        <v>650</v>
      </c>
      <c r="B13" t="s">
        <v>651</v>
      </c>
      <c r="C13" t="s">
        <v>652</v>
      </c>
      <c r="D13">
        <v>20683620</v>
      </c>
      <c r="E13" t="s">
        <v>653</v>
      </c>
      <c r="F13" t="s">
        <v>654</v>
      </c>
      <c r="G13">
        <v>33566280</v>
      </c>
      <c r="H13">
        <v>33566280</v>
      </c>
      <c r="I13" t="s">
        <v>655</v>
      </c>
      <c r="J13" t="s">
        <v>654</v>
      </c>
      <c r="K13">
        <v>37548720</v>
      </c>
      <c r="L13" t="s">
        <v>655</v>
      </c>
      <c r="M13" t="s">
        <v>654</v>
      </c>
      <c r="N13">
        <v>37548720</v>
      </c>
      <c r="P13">
        <v>39050668.800000004</v>
      </c>
      <c r="R13">
        <v>39050668.800000004</v>
      </c>
      <c r="S13">
        <v>39050668.800000004</v>
      </c>
      <c r="T13" t="s">
        <v>656</v>
      </c>
      <c r="U13" t="s">
        <v>654</v>
      </c>
      <c r="V13">
        <v>37548720</v>
      </c>
      <c r="W13" t="s">
        <v>646</v>
      </c>
      <c r="Y13">
        <v>37548720</v>
      </c>
    </row>
    <row r="14" spans="1:25" x14ac:dyDescent="0.25">
      <c r="F14" t="s">
        <v>657</v>
      </c>
      <c r="J14" t="s">
        <v>657</v>
      </c>
      <c r="M14" t="s">
        <v>657</v>
      </c>
      <c r="R14">
        <v>0</v>
      </c>
      <c r="U14" t="s">
        <v>658</v>
      </c>
      <c r="V14">
        <v>10000000</v>
      </c>
    </row>
    <row r="15" spans="1:25" x14ac:dyDescent="0.25">
      <c r="A15" t="s">
        <v>659</v>
      </c>
      <c r="C15">
        <v>0</v>
      </c>
      <c r="E15">
        <v>0</v>
      </c>
      <c r="F15">
        <v>0</v>
      </c>
      <c r="G15">
        <v>33566280</v>
      </c>
      <c r="I15">
        <v>0</v>
      </c>
      <c r="J15">
        <v>0</v>
      </c>
      <c r="K15">
        <v>37548720</v>
      </c>
      <c r="L15">
        <v>0</v>
      </c>
      <c r="M15">
        <v>0</v>
      </c>
      <c r="N15">
        <v>37548720</v>
      </c>
      <c r="P15">
        <v>39050668.800000004</v>
      </c>
      <c r="Q15">
        <v>0</v>
      </c>
      <c r="R15">
        <v>39050668.800000004</v>
      </c>
      <c r="S15">
        <v>39050668.800000004</v>
      </c>
      <c r="T15">
        <v>0</v>
      </c>
      <c r="U15">
        <v>0</v>
      </c>
      <c r="V15">
        <v>47548720</v>
      </c>
      <c r="W15">
        <v>0</v>
      </c>
      <c r="X15">
        <v>0</v>
      </c>
      <c r="Y15">
        <v>37548720</v>
      </c>
    </row>
    <row r="16" spans="1:25" x14ac:dyDescent="0.25">
      <c r="A16" t="s">
        <v>660</v>
      </c>
      <c r="B16" t="s">
        <v>661</v>
      </c>
      <c r="C16" t="s">
        <v>662</v>
      </c>
      <c r="D16">
        <v>28957110</v>
      </c>
      <c r="E16" t="s">
        <v>663</v>
      </c>
      <c r="F16" t="s">
        <v>664</v>
      </c>
      <c r="G16">
        <v>272545700</v>
      </c>
      <c r="H16">
        <v>331505757</v>
      </c>
      <c r="I16" t="s">
        <v>665</v>
      </c>
      <c r="J16" t="s">
        <v>666</v>
      </c>
      <c r="K16">
        <v>73130000</v>
      </c>
      <c r="L16" t="s">
        <v>665</v>
      </c>
      <c r="M16" t="s">
        <v>666</v>
      </c>
      <c r="R16">
        <v>0</v>
      </c>
      <c r="T16" t="s">
        <v>667</v>
      </c>
      <c r="U16" t="s">
        <v>668</v>
      </c>
      <c r="V16">
        <v>30000000</v>
      </c>
      <c r="W16" t="s">
        <v>669</v>
      </c>
      <c r="X16" t="s">
        <v>670</v>
      </c>
      <c r="Y16">
        <v>80000000</v>
      </c>
    </row>
    <row r="17" spans="1:25" x14ac:dyDescent="0.25">
      <c r="F17" t="s">
        <v>671</v>
      </c>
      <c r="G17">
        <v>5412537</v>
      </c>
      <c r="J17" t="s">
        <v>672</v>
      </c>
      <c r="K17">
        <v>60000000</v>
      </c>
      <c r="M17" t="s">
        <v>672</v>
      </c>
      <c r="R17">
        <v>0</v>
      </c>
      <c r="U17" t="s">
        <v>673</v>
      </c>
      <c r="V17">
        <v>16000000</v>
      </c>
      <c r="X17" t="s">
        <v>674</v>
      </c>
      <c r="Y17">
        <v>5000000</v>
      </c>
    </row>
    <row r="18" spans="1:25" x14ac:dyDescent="0.25">
      <c r="J18" t="s">
        <v>675</v>
      </c>
      <c r="K18">
        <v>72000000</v>
      </c>
      <c r="M18" t="s">
        <v>676</v>
      </c>
      <c r="N18">
        <v>56000000</v>
      </c>
      <c r="Q18">
        <v>56000000</v>
      </c>
      <c r="R18">
        <v>56000000</v>
      </c>
      <c r="S18">
        <v>72000000</v>
      </c>
      <c r="U18" t="s">
        <v>677</v>
      </c>
      <c r="V18">
        <v>60240960</v>
      </c>
      <c r="X18" t="s">
        <v>677</v>
      </c>
      <c r="Y18">
        <v>60240960</v>
      </c>
    </row>
    <row r="19" spans="1:25" x14ac:dyDescent="0.25">
      <c r="J19" t="s">
        <v>678</v>
      </c>
      <c r="K19">
        <v>24500000</v>
      </c>
      <c r="M19" t="s">
        <v>674</v>
      </c>
      <c r="P19">
        <v>7891904.4800000191</v>
      </c>
      <c r="R19">
        <v>7891904.4800000191</v>
      </c>
      <c r="S19">
        <v>24500000</v>
      </c>
    </row>
    <row r="20" spans="1:25" x14ac:dyDescent="0.25">
      <c r="J20" t="s">
        <v>679</v>
      </c>
      <c r="K20">
        <v>30000000</v>
      </c>
      <c r="M20" t="s">
        <v>680</v>
      </c>
      <c r="N20">
        <v>15000000</v>
      </c>
      <c r="P20">
        <v>10594000</v>
      </c>
      <c r="Q20">
        <v>4406000</v>
      </c>
      <c r="R20">
        <v>15000000</v>
      </c>
      <c r="S20">
        <v>15000000</v>
      </c>
    </row>
    <row r="21" spans="1:25" x14ac:dyDescent="0.25">
      <c r="J21" t="s">
        <v>681</v>
      </c>
      <c r="K21">
        <v>10000000</v>
      </c>
      <c r="M21" t="s">
        <v>681</v>
      </c>
      <c r="R21">
        <v>0</v>
      </c>
      <c r="S21">
        <v>10000000</v>
      </c>
    </row>
    <row r="22" spans="1:25" x14ac:dyDescent="0.25">
      <c r="J22" t="s">
        <v>682</v>
      </c>
      <c r="K22">
        <v>30000000</v>
      </c>
      <c r="M22" t="s">
        <v>682</v>
      </c>
      <c r="N22">
        <v>30000000</v>
      </c>
      <c r="P22">
        <v>30000000</v>
      </c>
      <c r="R22">
        <v>30000000</v>
      </c>
      <c r="S22">
        <v>30000000</v>
      </c>
    </row>
    <row r="23" spans="1:25" x14ac:dyDescent="0.25">
      <c r="J23" t="s">
        <v>683</v>
      </c>
      <c r="K23">
        <v>10000000</v>
      </c>
      <c r="M23" t="s">
        <v>683</v>
      </c>
      <c r="R23">
        <v>0</v>
      </c>
      <c r="S23">
        <v>10000000</v>
      </c>
    </row>
    <row r="24" spans="1:25" x14ac:dyDescent="0.25">
      <c r="F24" t="s">
        <v>684</v>
      </c>
      <c r="G24">
        <v>53547520</v>
      </c>
      <c r="J24" t="s">
        <v>684</v>
      </c>
      <c r="K24">
        <v>60240960</v>
      </c>
      <c r="M24" t="s">
        <v>684</v>
      </c>
      <c r="N24">
        <v>62650598.399999999</v>
      </c>
      <c r="P24">
        <v>62650598.399999999</v>
      </c>
      <c r="R24">
        <v>62650598.399999999</v>
      </c>
      <c r="S24">
        <v>62650598.399999999</v>
      </c>
    </row>
    <row r="25" spans="1:25" x14ac:dyDescent="0.25">
      <c r="A25" t="s">
        <v>685</v>
      </c>
      <c r="C25">
        <v>0</v>
      </c>
      <c r="E25">
        <v>0</v>
      </c>
      <c r="F25">
        <v>0</v>
      </c>
      <c r="G25">
        <v>331505757</v>
      </c>
      <c r="I25">
        <v>0</v>
      </c>
      <c r="J25">
        <v>0</v>
      </c>
      <c r="K25">
        <v>369870960</v>
      </c>
      <c r="M25">
        <v>0</v>
      </c>
      <c r="N25">
        <v>163650598.40000001</v>
      </c>
      <c r="P25">
        <v>111136502.88000003</v>
      </c>
      <c r="Q25">
        <v>60406000</v>
      </c>
      <c r="R25">
        <v>171542502.88000003</v>
      </c>
      <c r="S25">
        <v>224150598.40000001</v>
      </c>
      <c r="T25">
        <v>0</v>
      </c>
      <c r="U25">
        <v>0</v>
      </c>
      <c r="V25">
        <v>106240960</v>
      </c>
      <c r="W25">
        <v>0</v>
      </c>
      <c r="X25">
        <v>0</v>
      </c>
      <c r="Y25">
        <v>145240960</v>
      </c>
    </row>
    <row r="26" spans="1:25" x14ac:dyDescent="0.25">
      <c r="A26" t="s">
        <v>686</v>
      </c>
      <c r="B26" t="s">
        <v>687</v>
      </c>
      <c r="C26" t="s">
        <v>688</v>
      </c>
      <c r="D26">
        <v>6900000</v>
      </c>
      <c r="E26" t="s">
        <v>689</v>
      </c>
      <c r="F26" t="s">
        <v>690</v>
      </c>
      <c r="G26">
        <v>19800000</v>
      </c>
      <c r="H26">
        <v>19800000</v>
      </c>
      <c r="I26" t="s">
        <v>691</v>
      </c>
      <c r="J26" t="s">
        <v>692</v>
      </c>
      <c r="K26">
        <v>27500000</v>
      </c>
      <c r="L26" t="s">
        <v>691</v>
      </c>
      <c r="M26" t="s">
        <v>692</v>
      </c>
      <c r="N26">
        <v>24200000</v>
      </c>
      <c r="P26">
        <v>25168000</v>
      </c>
      <c r="R26">
        <v>25168000</v>
      </c>
      <c r="S26">
        <v>25168000</v>
      </c>
      <c r="T26" t="s">
        <v>693</v>
      </c>
      <c r="U26" t="s">
        <v>692</v>
      </c>
      <c r="V26">
        <v>27500000</v>
      </c>
      <c r="W26" t="s">
        <v>694</v>
      </c>
      <c r="X26" t="s">
        <v>692</v>
      </c>
      <c r="Y26">
        <v>27500000</v>
      </c>
    </row>
    <row r="27" spans="1:25" x14ac:dyDescent="0.25">
      <c r="J27" t="s">
        <v>695</v>
      </c>
      <c r="K27">
        <v>22000000</v>
      </c>
      <c r="M27" t="s">
        <v>695</v>
      </c>
      <c r="N27">
        <v>22000000</v>
      </c>
      <c r="P27">
        <v>22000000</v>
      </c>
      <c r="R27">
        <v>22000000</v>
      </c>
      <c r="S27">
        <v>22000000</v>
      </c>
      <c r="U27" t="s">
        <v>696</v>
      </c>
      <c r="V27">
        <v>44000000</v>
      </c>
      <c r="X27" t="s">
        <v>697</v>
      </c>
      <c r="Y27">
        <v>44000000</v>
      </c>
    </row>
    <row r="28" spans="1:25" x14ac:dyDescent="0.25">
      <c r="J28" t="s">
        <v>698</v>
      </c>
      <c r="K28">
        <v>2000000</v>
      </c>
      <c r="M28" t="s">
        <v>698</v>
      </c>
      <c r="N28">
        <v>2000000</v>
      </c>
      <c r="P28">
        <v>2000000</v>
      </c>
      <c r="R28">
        <v>2000000</v>
      </c>
      <c r="S28">
        <v>2000000</v>
      </c>
      <c r="U28" t="s">
        <v>698</v>
      </c>
      <c r="V28">
        <v>5000000</v>
      </c>
      <c r="X28" t="s">
        <v>698</v>
      </c>
      <c r="Y28">
        <v>5000000</v>
      </c>
    </row>
    <row r="29" spans="1:25" x14ac:dyDescent="0.25">
      <c r="A29" t="s">
        <v>699</v>
      </c>
      <c r="C29">
        <v>0</v>
      </c>
      <c r="E29">
        <v>0</v>
      </c>
      <c r="F29">
        <v>0</v>
      </c>
      <c r="G29">
        <v>19800000</v>
      </c>
      <c r="I29">
        <v>0</v>
      </c>
      <c r="J29">
        <v>0</v>
      </c>
      <c r="K29">
        <v>51500000</v>
      </c>
      <c r="L29">
        <v>0</v>
      </c>
      <c r="M29">
        <v>0</v>
      </c>
      <c r="N29">
        <v>48200000</v>
      </c>
      <c r="P29">
        <v>49168000</v>
      </c>
      <c r="Q29">
        <v>0</v>
      </c>
      <c r="R29">
        <v>49168000</v>
      </c>
      <c r="S29">
        <v>49168000</v>
      </c>
      <c r="T29">
        <v>0</v>
      </c>
      <c r="U29">
        <v>0</v>
      </c>
      <c r="V29">
        <v>76500000</v>
      </c>
      <c r="W29">
        <v>0</v>
      </c>
      <c r="X29">
        <v>0</v>
      </c>
      <c r="Y29">
        <v>76500000</v>
      </c>
    </row>
    <row r="30" spans="1:25" x14ac:dyDescent="0.25">
      <c r="A30" t="s">
        <v>700</v>
      </c>
      <c r="B30" t="s">
        <v>701</v>
      </c>
      <c r="C30" t="s">
        <v>702</v>
      </c>
      <c r="D30">
        <v>20400000</v>
      </c>
      <c r="E30" t="s">
        <v>703</v>
      </c>
      <c r="F30" t="s">
        <v>704</v>
      </c>
      <c r="G30">
        <v>30033333</v>
      </c>
      <c r="H30">
        <v>30033333</v>
      </c>
      <c r="I30" t="s">
        <v>705</v>
      </c>
      <c r="J30" t="s">
        <v>706</v>
      </c>
      <c r="K30">
        <v>36707407</v>
      </c>
      <c r="L30" t="s">
        <v>705</v>
      </c>
      <c r="M30" t="s">
        <v>706</v>
      </c>
      <c r="N30">
        <v>36707407</v>
      </c>
      <c r="P30">
        <v>38175703.280000001</v>
      </c>
      <c r="R30">
        <v>38175703.280000001</v>
      </c>
      <c r="S30">
        <v>38175703.280000001</v>
      </c>
      <c r="T30" t="s">
        <v>705</v>
      </c>
      <c r="U30" t="s">
        <v>706</v>
      </c>
      <c r="V30">
        <v>36707407</v>
      </c>
      <c r="W30" t="s">
        <v>705</v>
      </c>
      <c r="X30" t="s">
        <v>706</v>
      </c>
      <c r="Y30">
        <v>36707407</v>
      </c>
    </row>
    <row r="31" spans="1:25" x14ac:dyDescent="0.25">
      <c r="J31" t="s">
        <v>707</v>
      </c>
      <c r="M31" t="s">
        <v>707</v>
      </c>
      <c r="R31">
        <v>0</v>
      </c>
      <c r="U31" t="s">
        <v>707</v>
      </c>
      <c r="V31">
        <v>6000000</v>
      </c>
      <c r="X31" t="s">
        <v>707</v>
      </c>
      <c r="Y31">
        <v>6000000</v>
      </c>
    </row>
    <row r="32" spans="1:25" x14ac:dyDescent="0.25">
      <c r="A32" t="s">
        <v>708</v>
      </c>
      <c r="C32">
        <v>0</v>
      </c>
      <c r="E32">
        <v>0</v>
      </c>
      <c r="F32">
        <v>0</v>
      </c>
      <c r="G32">
        <v>30033333</v>
      </c>
      <c r="I32">
        <v>0</v>
      </c>
      <c r="J32">
        <v>0</v>
      </c>
      <c r="K32">
        <v>36707407</v>
      </c>
      <c r="L32">
        <v>0</v>
      </c>
      <c r="M32">
        <v>0</v>
      </c>
      <c r="N32">
        <v>36707407</v>
      </c>
      <c r="P32">
        <v>38175703.280000001</v>
      </c>
      <c r="Q32">
        <v>0</v>
      </c>
      <c r="R32">
        <v>38175703.280000001</v>
      </c>
      <c r="S32">
        <v>38175703.280000001</v>
      </c>
      <c r="T32">
        <v>0</v>
      </c>
      <c r="U32">
        <v>0</v>
      </c>
      <c r="V32">
        <v>42707407</v>
      </c>
      <c r="W32">
        <v>0</v>
      </c>
      <c r="X32">
        <v>0</v>
      </c>
      <c r="Y32">
        <v>42707407</v>
      </c>
    </row>
    <row r="33" spans="1:25" x14ac:dyDescent="0.25">
      <c r="A33" t="s">
        <v>709</v>
      </c>
      <c r="B33" t="s">
        <v>710</v>
      </c>
      <c r="C33" t="s">
        <v>711</v>
      </c>
      <c r="D33">
        <v>19304712</v>
      </c>
      <c r="E33" t="s">
        <v>712</v>
      </c>
      <c r="F33" t="s">
        <v>713</v>
      </c>
      <c r="G33">
        <v>39600000</v>
      </c>
      <c r="H33">
        <v>62531853</v>
      </c>
      <c r="I33" t="s">
        <v>714</v>
      </c>
      <c r="J33" t="s">
        <v>713</v>
      </c>
      <c r="K33">
        <v>43200000</v>
      </c>
      <c r="L33" t="s">
        <v>714</v>
      </c>
      <c r="M33" t="s">
        <v>713</v>
      </c>
      <c r="N33">
        <v>43200000</v>
      </c>
      <c r="P33">
        <v>44928000</v>
      </c>
      <c r="R33">
        <v>44928000</v>
      </c>
      <c r="S33">
        <v>48000000</v>
      </c>
      <c r="T33" t="s">
        <v>715</v>
      </c>
      <c r="U33" t="s">
        <v>716</v>
      </c>
      <c r="V33">
        <v>43200000</v>
      </c>
      <c r="W33" t="s">
        <v>715</v>
      </c>
      <c r="X33" t="s">
        <v>716</v>
      </c>
      <c r="Y33">
        <v>43200000</v>
      </c>
    </row>
    <row r="34" spans="1:25" x14ac:dyDescent="0.25">
      <c r="F34" t="s">
        <v>717</v>
      </c>
      <c r="G34">
        <v>20400000</v>
      </c>
      <c r="J34" t="s">
        <v>717</v>
      </c>
      <c r="K34">
        <v>20400000</v>
      </c>
      <c r="M34" t="s">
        <v>717</v>
      </c>
      <c r="N34">
        <v>20400000</v>
      </c>
      <c r="P34">
        <v>21216000</v>
      </c>
      <c r="R34">
        <v>21216000</v>
      </c>
      <c r="S34">
        <v>21216000</v>
      </c>
    </row>
    <row r="35" spans="1:25" x14ac:dyDescent="0.25">
      <c r="F35" t="s">
        <v>718</v>
      </c>
      <c r="G35">
        <v>1695000</v>
      </c>
      <c r="J35" t="s">
        <v>718</v>
      </c>
      <c r="K35">
        <v>3700000</v>
      </c>
      <c r="M35" t="s">
        <v>718</v>
      </c>
      <c r="N35">
        <v>3700000</v>
      </c>
      <c r="P35">
        <v>3700000</v>
      </c>
      <c r="R35">
        <v>3700000</v>
      </c>
      <c r="S35">
        <v>3700000</v>
      </c>
    </row>
    <row r="36" spans="1:25" x14ac:dyDescent="0.25">
      <c r="F36" t="s">
        <v>719</v>
      </c>
      <c r="G36">
        <v>836553</v>
      </c>
      <c r="R36">
        <v>0</v>
      </c>
    </row>
    <row r="37" spans="1:25" x14ac:dyDescent="0.25">
      <c r="F37" t="s">
        <v>720</v>
      </c>
      <c r="G37">
        <v>0</v>
      </c>
      <c r="J37" t="s">
        <v>720</v>
      </c>
      <c r="M37" t="s">
        <v>720</v>
      </c>
      <c r="R37">
        <v>0</v>
      </c>
      <c r="U37" t="s">
        <v>721</v>
      </c>
      <c r="V37">
        <v>3500000</v>
      </c>
      <c r="X37" t="s">
        <v>721</v>
      </c>
      <c r="Y37">
        <v>3500000</v>
      </c>
    </row>
    <row r="38" spans="1:25" x14ac:dyDescent="0.25">
      <c r="F38" t="s">
        <v>721</v>
      </c>
      <c r="G38">
        <v>0</v>
      </c>
      <c r="J38" t="s">
        <v>721</v>
      </c>
      <c r="M38" t="s">
        <v>721</v>
      </c>
      <c r="R38">
        <v>0</v>
      </c>
      <c r="U38" t="s">
        <v>721</v>
      </c>
      <c r="V38">
        <v>2000000</v>
      </c>
      <c r="X38" t="s">
        <v>721</v>
      </c>
      <c r="Y38">
        <v>2000000</v>
      </c>
    </row>
    <row r="39" spans="1:25" x14ac:dyDescent="0.25">
      <c r="A39" t="s">
        <v>722</v>
      </c>
      <c r="C39">
        <v>0</v>
      </c>
      <c r="E39">
        <v>0</v>
      </c>
      <c r="F39">
        <v>0</v>
      </c>
      <c r="G39">
        <v>62531553</v>
      </c>
      <c r="I39">
        <v>0</v>
      </c>
      <c r="J39">
        <v>0</v>
      </c>
      <c r="K39">
        <v>67300000</v>
      </c>
      <c r="L39">
        <v>0</v>
      </c>
      <c r="M39">
        <v>0</v>
      </c>
      <c r="N39">
        <v>67300000</v>
      </c>
      <c r="P39">
        <v>69844000</v>
      </c>
      <c r="Q39">
        <v>0</v>
      </c>
      <c r="R39">
        <v>69844000</v>
      </c>
      <c r="S39">
        <v>72916000</v>
      </c>
      <c r="T39">
        <v>0</v>
      </c>
      <c r="U39">
        <v>0</v>
      </c>
      <c r="V39">
        <v>48700000</v>
      </c>
      <c r="W39">
        <v>0</v>
      </c>
      <c r="X39">
        <v>0</v>
      </c>
      <c r="Y39">
        <v>48700000</v>
      </c>
    </row>
    <row r="40" spans="1:25" x14ac:dyDescent="0.25">
      <c r="A40" t="s">
        <v>723</v>
      </c>
      <c r="B40" t="s">
        <v>724</v>
      </c>
      <c r="C40" t="s">
        <v>725</v>
      </c>
      <c r="D40">
        <v>8168720</v>
      </c>
      <c r="E40" t="s">
        <v>726</v>
      </c>
      <c r="F40" t="s">
        <v>727</v>
      </c>
      <c r="I40" t="s">
        <v>728</v>
      </c>
      <c r="J40" t="s">
        <v>727</v>
      </c>
      <c r="K40">
        <v>2000000</v>
      </c>
      <c r="L40" t="s">
        <v>728</v>
      </c>
      <c r="M40" t="s">
        <v>727</v>
      </c>
      <c r="N40">
        <v>2000000</v>
      </c>
      <c r="P40">
        <v>2000000</v>
      </c>
      <c r="R40">
        <v>2000000</v>
      </c>
      <c r="S40">
        <v>2000000</v>
      </c>
      <c r="T40" t="s">
        <v>729</v>
      </c>
      <c r="U40" t="s">
        <v>727</v>
      </c>
      <c r="V40">
        <v>2060000</v>
      </c>
      <c r="W40" t="s">
        <v>730</v>
      </c>
      <c r="X40" t="s">
        <v>727</v>
      </c>
      <c r="Y40">
        <v>2121800</v>
      </c>
    </row>
    <row r="41" spans="1:25" x14ac:dyDescent="0.25">
      <c r="R41">
        <v>0</v>
      </c>
    </row>
    <row r="42" spans="1:25" x14ac:dyDescent="0.25">
      <c r="A42" t="s">
        <v>731</v>
      </c>
      <c r="C42">
        <v>0</v>
      </c>
      <c r="E42">
        <v>0</v>
      </c>
      <c r="F42">
        <v>0</v>
      </c>
      <c r="G42">
        <v>0</v>
      </c>
      <c r="I42">
        <v>0</v>
      </c>
      <c r="J42">
        <v>0</v>
      </c>
      <c r="K42">
        <v>2000000</v>
      </c>
      <c r="L42">
        <v>0</v>
      </c>
      <c r="M42">
        <v>0</v>
      </c>
      <c r="N42">
        <v>2000000</v>
      </c>
      <c r="P42">
        <v>2000000</v>
      </c>
      <c r="R42">
        <v>2000000</v>
      </c>
      <c r="S42">
        <v>2000000</v>
      </c>
      <c r="T42">
        <v>0</v>
      </c>
      <c r="U42">
        <v>0</v>
      </c>
      <c r="V42">
        <v>2060000</v>
      </c>
      <c r="W42">
        <v>0</v>
      </c>
      <c r="X42">
        <v>0</v>
      </c>
      <c r="Y42">
        <v>2121800</v>
      </c>
    </row>
    <row r="43" spans="1:25" x14ac:dyDescent="0.25">
      <c r="A43" t="s">
        <v>732</v>
      </c>
      <c r="C43">
        <v>0</v>
      </c>
      <c r="D43">
        <v>328868769</v>
      </c>
      <c r="E43">
        <v>723223000</v>
      </c>
      <c r="F43">
        <v>0</v>
      </c>
      <c r="G43">
        <v>715023000</v>
      </c>
      <c r="H43">
        <v>721023300</v>
      </c>
      <c r="I43">
        <v>0</v>
      </c>
      <c r="J43">
        <v>0</v>
      </c>
      <c r="K43">
        <v>889704818</v>
      </c>
      <c r="L43">
        <v>0</v>
      </c>
      <c r="M43">
        <v>0</v>
      </c>
      <c r="N43">
        <v>624963576.39999998</v>
      </c>
      <c r="P43">
        <v>619000000</v>
      </c>
      <c r="Q43">
        <v>60406000</v>
      </c>
      <c r="R43">
        <v>679406000</v>
      </c>
      <c r="S43">
        <v>735086095.51999998</v>
      </c>
      <c r="T43">
        <v>0</v>
      </c>
      <c r="U43">
        <v>0</v>
      </c>
      <c r="V43">
        <v>682735671</v>
      </c>
      <c r="W43">
        <v>0</v>
      </c>
      <c r="X43">
        <v>0</v>
      </c>
      <c r="Y43">
        <v>711797471</v>
      </c>
    </row>
    <row r="44" spans="1:25" x14ac:dyDescent="0.25">
      <c r="K44">
        <v>166481818</v>
      </c>
      <c r="N44">
        <v>-90059423.600000024</v>
      </c>
      <c r="P44">
        <v>-102023300</v>
      </c>
      <c r="S44">
        <v>735086095.51999998</v>
      </c>
    </row>
    <row r="45" spans="1:25" x14ac:dyDescent="0.25">
      <c r="K45">
        <v>0.23019430797969645</v>
      </c>
      <c r="N45">
        <v>-0.12595318416330667</v>
      </c>
      <c r="P45">
        <v>-0.14149792385350099</v>
      </c>
      <c r="S45" t="e">
        <v>#DIV/0!</v>
      </c>
    </row>
    <row r="47" spans="1:25" x14ac:dyDescent="0.25">
      <c r="J47" t="s">
        <v>733</v>
      </c>
      <c r="K47">
        <v>474000000</v>
      </c>
      <c r="N47">
        <v>474000000</v>
      </c>
      <c r="P47">
        <v>474000000</v>
      </c>
      <c r="S47">
        <v>474000000</v>
      </c>
    </row>
    <row r="48" spans="1:25" x14ac:dyDescent="0.25">
      <c r="K48">
        <v>415704818</v>
      </c>
      <c r="N48">
        <v>150963576.39999998</v>
      </c>
      <c r="P48">
        <v>145000000</v>
      </c>
      <c r="S48">
        <v>261086095.51999998</v>
      </c>
    </row>
    <row r="49" spans="10:19" x14ac:dyDescent="0.25">
      <c r="J49" t="s">
        <v>734</v>
      </c>
      <c r="K49">
        <v>369870960</v>
      </c>
      <c r="N49">
        <v>163650598.40000001</v>
      </c>
      <c r="P49">
        <v>111136502.88000003</v>
      </c>
      <c r="S49">
        <v>224150598.40000001</v>
      </c>
    </row>
    <row r="52" spans="10:19" x14ac:dyDescent="0.25">
      <c r="J52">
        <v>1079</v>
      </c>
      <c r="K52">
        <v>319000000</v>
      </c>
      <c r="P52">
        <v>319000000</v>
      </c>
      <c r="S52">
        <v>319000000</v>
      </c>
    </row>
    <row r="53" spans="10:19" x14ac:dyDescent="0.25">
      <c r="K53">
        <v>734704818</v>
      </c>
      <c r="P53">
        <v>464000000</v>
      </c>
      <c r="S53">
        <v>580086095.51999998</v>
      </c>
    </row>
    <row r="55" spans="10:19" x14ac:dyDescent="0.25">
      <c r="P55">
        <v>679406000</v>
      </c>
    </row>
    <row r="56" spans="10:19" x14ac:dyDescent="0.25">
      <c r="P56">
        <v>60406000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1"/>
  <sheetViews>
    <sheetView topLeftCell="A9" workbookViewId="0">
      <selection activeCell="D26" sqref="D26:D36"/>
    </sheetView>
  </sheetViews>
  <sheetFormatPr baseColWidth="10" defaultRowHeight="15" x14ac:dyDescent="0.25"/>
  <sheetData>
    <row r="2" spans="2:14" x14ac:dyDescent="0.25">
      <c r="B2" s="1401" t="s">
        <v>757</v>
      </c>
      <c r="C2" s="1401"/>
      <c r="D2" s="1401"/>
      <c r="E2" s="1401"/>
      <c r="F2" s="1401"/>
      <c r="G2" s="1401"/>
      <c r="H2" s="1401"/>
      <c r="I2" s="1401"/>
      <c r="J2" s="1401"/>
      <c r="K2" s="1401"/>
      <c r="L2" s="1401"/>
      <c r="M2" s="951"/>
      <c r="N2" s="951"/>
    </row>
    <row r="3" spans="2:14" x14ac:dyDescent="0.25">
      <c r="B3" s="1151" t="s">
        <v>526</v>
      </c>
      <c r="C3" s="1151"/>
      <c r="D3" s="1151"/>
      <c r="E3" s="1170"/>
      <c r="F3" s="1171"/>
      <c r="G3" s="1171"/>
      <c r="H3" s="1171"/>
      <c r="I3" s="1171"/>
      <c r="J3" s="1171"/>
      <c r="K3" s="1172"/>
      <c r="L3" s="952" t="s">
        <v>501</v>
      </c>
      <c r="M3" s="952"/>
      <c r="N3" s="952"/>
    </row>
    <row r="4" spans="2:14" x14ac:dyDescent="0.25">
      <c r="B4" s="1151" t="s">
        <v>761</v>
      </c>
      <c r="C4" s="1151"/>
      <c r="D4" s="1151"/>
      <c r="E4" s="1152"/>
      <c r="F4" s="1153"/>
      <c r="G4" s="1153"/>
      <c r="H4" s="1153"/>
      <c r="I4" s="1153"/>
      <c r="J4" s="1153"/>
      <c r="K4" s="1154"/>
      <c r="L4" s="1211" t="s">
        <v>745</v>
      </c>
      <c r="M4" s="1211"/>
      <c r="N4" s="1211"/>
    </row>
    <row r="5" spans="2:14" x14ac:dyDescent="0.25">
      <c r="B5" s="1155" t="s">
        <v>755</v>
      </c>
      <c r="C5" s="1155"/>
      <c r="D5" s="1155"/>
      <c r="E5" s="1156"/>
      <c r="F5" s="1157"/>
      <c r="G5" s="1157"/>
      <c r="H5" s="1157"/>
      <c r="I5" s="1157"/>
      <c r="J5" s="1157"/>
      <c r="K5" s="1158"/>
      <c r="L5" s="550" t="s">
        <v>746</v>
      </c>
      <c r="M5" s="550"/>
      <c r="N5" s="550"/>
    </row>
    <row r="6" spans="2:14" x14ac:dyDescent="0.25">
      <c r="B6" s="1155" t="s">
        <v>573</v>
      </c>
      <c r="C6" s="1155"/>
      <c r="D6" s="1155"/>
      <c r="E6" s="1156"/>
      <c r="F6" s="1157"/>
      <c r="G6" s="1157"/>
      <c r="H6" s="1157"/>
      <c r="I6" s="1157"/>
      <c r="J6" s="1157"/>
      <c r="K6" s="1158"/>
      <c r="L6" s="1215" t="s">
        <v>531</v>
      </c>
      <c r="M6" s="1215"/>
      <c r="N6" s="1215"/>
    </row>
    <row r="7" spans="2:14" x14ac:dyDescent="0.25">
      <c r="B7" s="1156" t="s">
        <v>756</v>
      </c>
      <c r="C7" s="1157"/>
      <c r="D7" s="1158"/>
      <c r="E7" s="1155"/>
      <c r="F7" s="1155"/>
      <c r="G7" s="1155"/>
      <c r="H7" s="1155"/>
      <c r="I7" s="1155"/>
      <c r="J7" s="1155"/>
      <c r="K7" s="1155"/>
      <c r="L7" s="1155"/>
      <c r="M7" s="1155"/>
      <c r="N7" s="1155"/>
    </row>
    <row r="8" spans="2:14" x14ac:dyDescent="0.25">
      <c r="B8" s="1156" t="s">
        <v>575</v>
      </c>
      <c r="C8" s="1157"/>
      <c r="D8" s="1158"/>
      <c r="E8" s="1156"/>
      <c r="F8" s="1157"/>
      <c r="G8" s="1157"/>
      <c r="H8" s="1157"/>
      <c r="I8" s="1157"/>
      <c r="J8" s="1157"/>
      <c r="K8" s="1157"/>
      <c r="L8" s="1157"/>
      <c r="M8" s="1157"/>
      <c r="N8" s="1158"/>
    </row>
    <row r="9" spans="2:14" x14ac:dyDescent="0.25">
      <c r="B9" s="551"/>
      <c r="C9" s="552"/>
      <c r="D9" s="552"/>
      <c r="E9" s="553"/>
      <c r="F9" s="541"/>
      <c r="G9" s="541"/>
      <c r="H9" s="540"/>
      <c r="I9" s="540"/>
      <c r="J9" s="540"/>
      <c r="K9" s="542"/>
      <c r="L9" s="542"/>
      <c r="M9" s="542"/>
      <c r="N9" s="542"/>
    </row>
    <row r="10" spans="2:14" x14ac:dyDescent="0.25">
      <c r="B10" s="1173" t="s">
        <v>550</v>
      </c>
      <c r="C10" s="1173" t="s">
        <v>758</v>
      </c>
      <c r="D10" s="1173" t="s">
        <v>508</v>
      </c>
      <c r="E10" s="1173" t="s">
        <v>2</v>
      </c>
      <c r="F10" s="1173" t="s">
        <v>759</v>
      </c>
      <c r="G10" s="1173" t="s">
        <v>760</v>
      </c>
      <c r="H10" s="1173" t="s">
        <v>3</v>
      </c>
      <c r="I10" s="1173" t="s">
        <v>4</v>
      </c>
      <c r="J10" s="1173" t="s">
        <v>509</v>
      </c>
      <c r="K10" s="1175" t="s">
        <v>743</v>
      </c>
      <c r="L10" s="1176"/>
      <c r="M10" s="1177"/>
      <c r="N10" s="1178" t="s">
        <v>740</v>
      </c>
    </row>
    <row r="11" spans="2:14" ht="24.75" x14ac:dyDescent="0.25">
      <c r="B11" s="1174"/>
      <c r="C11" s="1174"/>
      <c r="D11" s="1174"/>
      <c r="E11" s="1174"/>
      <c r="F11" s="1174"/>
      <c r="G11" s="1174"/>
      <c r="H11" s="1174"/>
      <c r="I11" s="1174"/>
      <c r="J11" s="1174"/>
      <c r="K11" s="554" t="s">
        <v>742</v>
      </c>
      <c r="L11" s="554" t="s">
        <v>744</v>
      </c>
      <c r="M11" s="953" t="s">
        <v>741</v>
      </c>
      <c r="N11" s="1179"/>
    </row>
    <row r="12" spans="2:14" x14ac:dyDescent="0.25">
      <c r="B12" s="1192"/>
      <c r="C12" s="1192"/>
      <c r="D12" s="1183"/>
      <c r="E12" s="1192"/>
      <c r="F12" s="1194"/>
      <c r="G12" s="1196"/>
      <c r="H12" s="556"/>
      <c r="I12" s="597"/>
      <c r="J12" s="569"/>
      <c r="K12" s="570"/>
      <c r="L12" s="571"/>
      <c r="M12" s="571"/>
      <c r="N12" s="572"/>
    </row>
    <row r="13" spans="2:14" x14ac:dyDescent="0.25">
      <c r="B13" s="1192"/>
      <c r="C13" s="1192"/>
      <c r="D13" s="1204"/>
      <c r="E13" s="1192"/>
      <c r="F13" s="1195"/>
      <c r="G13" s="1193"/>
      <c r="H13" s="1185" t="s">
        <v>510</v>
      </c>
      <c r="I13" s="1186"/>
      <c r="J13" s="1187"/>
      <c r="K13" s="593">
        <f>+K12</f>
        <v>0</v>
      </c>
      <c r="L13" s="593">
        <f t="shared" ref="L13" si="0">+L12</f>
        <v>0</v>
      </c>
      <c r="M13" s="593"/>
      <c r="N13" s="593">
        <f t="shared" ref="N13:N19" si="1">+K13+L13</f>
        <v>0</v>
      </c>
    </row>
    <row r="14" spans="2:14" x14ac:dyDescent="0.25">
      <c r="B14" s="1192"/>
      <c r="C14" s="1192"/>
      <c r="D14" s="1204"/>
      <c r="E14" s="1192"/>
      <c r="F14" s="1188" t="s">
        <v>511</v>
      </c>
      <c r="G14" s="1189"/>
      <c r="H14" s="1189"/>
      <c r="I14" s="1189"/>
      <c r="J14" s="1190"/>
      <c r="K14" s="567">
        <f>+K13</f>
        <v>0</v>
      </c>
      <c r="L14" s="567">
        <f>+L13</f>
        <v>0</v>
      </c>
      <c r="M14" s="567"/>
      <c r="N14" s="568">
        <f t="shared" si="1"/>
        <v>0</v>
      </c>
    </row>
    <row r="15" spans="2:14" x14ac:dyDescent="0.25">
      <c r="B15" s="1192"/>
      <c r="C15" s="1192"/>
      <c r="D15" s="1204"/>
      <c r="E15" s="1192"/>
      <c r="F15" s="1203"/>
      <c r="G15" s="1203"/>
      <c r="H15" s="843"/>
      <c r="I15" s="602"/>
      <c r="J15" s="584"/>
      <c r="K15" s="608"/>
      <c r="L15" s="609"/>
      <c r="M15" s="609"/>
      <c r="N15" s="610">
        <f t="shared" si="1"/>
        <v>0</v>
      </c>
    </row>
    <row r="16" spans="2:14" x14ac:dyDescent="0.25">
      <c r="B16" s="1192"/>
      <c r="C16" s="1192"/>
      <c r="D16" s="1204"/>
      <c r="E16" s="1192"/>
      <c r="F16" s="1203"/>
      <c r="G16" s="1203"/>
      <c r="H16" s="1186" t="s">
        <v>510</v>
      </c>
      <c r="I16" s="1186"/>
      <c r="J16" s="1191"/>
      <c r="K16" s="604">
        <f>+K15</f>
        <v>0</v>
      </c>
      <c r="L16" s="605">
        <f>+L15</f>
        <v>0</v>
      </c>
      <c r="M16" s="605"/>
      <c r="N16" s="606">
        <f t="shared" si="1"/>
        <v>0</v>
      </c>
    </row>
    <row r="17" spans="2:14" x14ac:dyDescent="0.25">
      <c r="B17" s="1192"/>
      <c r="C17" s="1192"/>
      <c r="D17" s="1204"/>
      <c r="E17" s="1192"/>
      <c r="F17" s="1203"/>
      <c r="G17" s="1203"/>
      <c r="H17" s="844"/>
      <c r="I17" s="603"/>
      <c r="J17" s="611"/>
      <c r="K17" s="612"/>
      <c r="L17" s="613"/>
      <c r="M17" s="613"/>
      <c r="N17" s="575"/>
    </row>
    <row r="18" spans="2:14" x14ac:dyDescent="0.25">
      <c r="B18" s="1192"/>
      <c r="C18" s="1192"/>
      <c r="D18" s="1204"/>
      <c r="E18" s="1192"/>
      <c r="F18" s="1203"/>
      <c r="G18" s="1203"/>
      <c r="H18" s="1186" t="s">
        <v>510</v>
      </c>
      <c r="I18" s="1186"/>
      <c r="J18" s="1191"/>
      <c r="K18" s="604">
        <f>+K17</f>
        <v>0</v>
      </c>
      <c r="L18" s="604">
        <f>+L17</f>
        <v>0</v>
      </c>
      <c r="M18" s="604"/>
      <c r="N18" s="604">
        <f t="shared" si="1"/>
        <v>0</v>
      </c>
    </row>
    <row r="19" spans="2:14" x14ac:dyDescent="0.25">
      <c r="B19" s="1192"/>
      <c r="C19" s="1192"/>
      <c r="D19" s="1204"/>
      <c r="E19" s="1192"/>
      <c r="F19" s="1203"/>
      <c r="G19" s="1203"/>
      <c r="H19" s="845"/>
      <c r="I19" s="841"/>
      <c r="J19" s="841"/>
      <c r="K19" s="565"/>
      <c r="L19" s="565"/>
      <c r="M19" s="570"/>
      <c r="N19" s="570">
        <f t="shared" si="1"/>
        <v>0</v>
      </c>
    </row>
    <row r="20" spans="2:14" x14ac:dyDescent="0.25">
      <c r="B20" s="1192"/>
      <c r="C20" s="1192"/>
      <c r="D20" s="1204"/>
      <c r="E20" s="1192"/>
      <c r="F20" s="1203"/>
      <c r="G20" s="1203"/>
      <c r="H20" s="949"/>
      <c r="I20" s="949"/>
      <c r="J20" s="950"/>
      <c r="K20" s="604">
        <f>+K19</f>
        <v>0</v>
      </c>
      <c r="L20" s="604">
        <f t="shared" ref="L20:N20" si="2">+L19</f>
        <v>0</v>
      </c>
      <c r="M20" s="604"/>
      <c r="N20" s="604">
        <f t="shared" si="2"/>
        <v>0</v>
      </c>
    </row>
    <row r="21" spans="2:14" x14ac:dyDescent="0.25">
      <c r="B21" s="1192"/>
      <c r="C21" s="1192"/>
      <c r="D21" s="1204"/>
      <c r="E21" s="1192"/>
      <c r="F21" s="1188" t="s">
        <v>511</v>
      </c>
      <c r="G21" s="1189"/>
      <c r="H21" s="1189"/>
      <c r="I21" s="1189"/>
      <c r="J21" s="1190"/>
      <c r="K21" s="567">
        <f>+K16+K18+K20</f>
        <v>0</v>
      </c>
      <c r="L21" s="567">
        <f t="shared" ref="L21:N21" si="3">+L16+L18+L20</f>
        <v>0</v>
      </c>
      <c r="M21" s="567"/>
      <c r="N21" s="567">
        <f t="shared" si="3"/>
        <v>0</v>
      </c>
    </row>
    <row r="22" spans="2:14" x14ac:dyDescent="0.25">
      <c r="B22" s="1192"/>
      <c r="C22" s="1192"/>
      <c r="D22" s="1204"/>
      <c r="E22" s="1192"/>
      <c r="F22" s="1183"/>
      <c r="G22" s="1405"/>
      <c r="H22" s="597"/>
      <c r="I22" s="846"/>
      <c r="J22" s="573"/>
      <c r="K22" s="574"/>
      <c r="L22" s="566"/>
      <c r="M22" s="566"/>
      <c r="N22" s="566">
        <f>+K22+L22</f>
        <v>0</v>
      </c>
    </row>
    <row r="23" spans="2:14" x14ac:dyDescent="0.25">
      <c r="B23" s="1192"/>
      <c r="C23" s="1192"/>
      <c r="D23" s="1204"/>
      <c r="E23" s="1192"/>
      <c r="F23" s="1184"/>
      <c r="G23" s="1406"/>
      <c r="H23" s="1197" t="s">
        <v>510</v>
      </c>
      <c r="I23" s="1198"/>
      <c r="J23" s="1199"/>
      <c r="K23" s="576">
        <f>+K22</f>
        <v>0</v>
      </c>
      <c r="L23" s="576">
        <f>+L22</f>
        <v>0</v>
      </c>
      <c r="M23" s="576"/>
      <c r="N23" s="576">
        <f>+K23+L23</f>
        <v>0</v>
      </c>
    </row>
    <row r="24" spans="2:14" x14ac:dyDescent="0.25">
      <c r="B24" s="1193"/>
      <c r="C24" s="1193"/>
      <c r="D24" s="1184"/>
      <c r="E24" s="1193"/>
      <c r="F24" s="1200" t="s">
        <v>511</v>
      </c>
      <c r="G24" s="1201"/>
      <c r="H24" s="1201"/>
      <c r="I24" s="1201"/>
      <c r="J24" s="1202"/>
      <c r="K24" s="577">
        <f>+K23</f>
        <v>0</v>
      </c>
      <c r="L24" s="577"/>
      <c r="M24" s="577"/>
      <c r="N24" s="577">
        <f>+K24+L24</f>
        <v>0</v>
      </c>
    </row>
    <row r="25" spans="2:14" x14ac:dyDescent="0.25">
      <c r="B25" s="1402" t="s">
        <v>754</v>
      </c>
      <c r="C25" s="1403"/>
      <c r="D25" s="1403"/>
      <c r="E25" s="1403"/>
      <c r="F25" s="1403"/>
      <c r="G25" s="1403"/>
      <c r="H25" s="1403"/>
      <c r="I25" s="1403"/>
      <c r="J25" s="1404"/>
      <c r="K25" s="578">
        <f>+K14+K21+K24</f>
        <v>0</v>
      </c>
      <c r="L25" s="578">
        <f t="shared" ref="L25" si="4">+L14+L21+L24</f>
        <v>0</v>
      </c>
      <c r="M25" s="578"/>
      <c r="N25" s="578">
        <f>+K25+L25</f>
        <v>0</v>
      </c>
    </row>
    <row r="26" spans="2:14" x14ac:dyDescent="0.25">
      <c r="B26" s="1204"/>
      <c r="C26" s="1204"/>
      <c r="D26" s="1183"/>
      <c r="E26" s="1204"/>
      <c r="F26" s="1196"/>
      <c r="G26" s="1196"/>
      <c r="H26" s="564"/>
      <c r="I26" s="602"/>
      <c r="J26" s="837">
        <v>4</v>
      </c>
      <c r="K26" s="582"/>
      <c r="L26" s="566"/>
      <c r="M26" s="566"/>
      <c r="N26" s="566">
        <f t="shared" ref="N26:N31" si="5">+K26+L26</f>
        <v>0</v>
      </c>
    </row>
    <row r="27" spans="2:14" x14ac:dyDescent="0.25">
      <c r="B27" s="1204"/>
      <c r="C27" s="1204"/>
      <c r="D27" s="1204"/>
      <c r="E27" s="1204"/>
      <c r="F27" s="1193"/>
      <c r="G27" s="1193"/>
      <c r="H27" s="1185" t="s">
        <v>24</v>
      </c>
      <c r="I27" s="1186"/>
      <c r="J27" s="1191"/>
      <c r="K27" s="595">
        <f>+K26</f>
        <v>0</v>
      </c>
      <c r="L27" s="595">
        <f t="shared" ref="L27:L28" si="6">+L26</f>
        <v>0</v>
      </c>
      <c r="M27" s="595"/>
      <c r="N27" s="595">
        <f t="shared" si="5"/>
        <v>0</v>
      </c>
    </row>
    <row r="28" spans="2:14" x14ac:dyDescent="0.25">
      <c r="B28" s="1204"/>
      <c r="C28" s="1204"/>
      <c r="D28" s="1204"/>
      <c r="E28" s="1204"/>
      <c r="F28" s="1188" t="s">
        <v>511</v>
      </c>
      <c r="G28" s="1189"/>
      <c r="H28" s="1189"/>
      <c r="I28" s="1189"/>
      <c r="J28" s="583"/>
      <c r="K28" s="567">
        <f>+K27</f>
        <v>0</v>
      </c>
      <c r="L28" s="567">
        <f t="shared" si="6"/>
        <v>0</v>
      </c>
      <c r="M28" s="567"/>
      <c r="N28" s="567">
        <f t="shared" si="5"/>
        <v>0</v>
      </c>
    </row>
    <row r="29" spans="2:14" x14ac:dyDescent="0.25">
      <c r="B29" s="1204"/>
      <c r="C29" s="1204"/>
      <c r="D29" s="1204"/>
      <c r="E29" s="1204"/>
      <c r="F29" s="1206"/>
      <c r="G29" s="1407"/>
      <c r="H29" s="563"/>
      <c r="I29" s="602"/>
      <c r="J29" s="579"/>
      <c r="K29" s="565"/>
      <c r="L29" s="565"/>
      <c r="M29" s="565"/>
      <c r="N29" s="580">
        <f t="shared" si="5"/>
        <v>0</v>
      </c>
    </row>
    <row r="30" spans="2:14" x14ac:dyDescent="0.25">
      <c r="B30" s="1204"/>
      <c r="C30" s="1204"/>
      <c r="D30" s="1204"/>
      <c r="E30" s="1204"/>
      <c r="F30" s="1206"/>
      <c r="G30" s="1408"/>
      <c r="H30" s="1207" t="s">
        <v>24</v>
      </c>
      <c r="I30" s="1207"/>
      <c r="J30" s="1207"/>
      <c r="K30" s="594">
        <f>+K29</f>
        <v>0</v>
      </c>
      <c r="L30" s="594">
        <f>+L29</f>
        <v>0</v>
      </c>
      <c r="M30" s="594"/>
      <c r="N30" s="594">
        <f t="shared" si="5"/>
        <v>0</v>
      </c>
    </row>
    <row r="31" spans="2:14" x14ac:dyDescent="0.25">
      <c r="B31" s="1204"/>
      <c r="C31" s="1204"/>
      <c r="D31" s="1204"/>
      <c r="E31" s="1204"/>
      <c r="F31" s="1206"/>
      <c r="G31" s="1408"/>
      <c r="H31" s="563"/>
      <c r="I31" s="602"/>
      <c r="J31" s="579"/>
      <c r="K31" s="565"/>
      <c r="L31" s="565"/>
      <c r="M31" s="565"/>
      <c r="N31" s="580">
        <f t="shared" si="5"/>
        <v>0</v>
      </c>
    </row>
    <row r="32" spans="2:14" x14ac:dyDescent="0.25">
      <c r="B32" s="1204"/>
      <c r="C32" s="1204"/>
      <c r="D32" s="1204"/>
      <c r="E32" s="1204"/>
      <c r="F32" s="1206"/>
      <c r="G32" s="1409"/>
      <c r="H32" s="1207" t="s">
        <v>24</v>
      </c>
      <c r="I32" s="1207"/>
      <c r="J32" s="1207"/>
      <c r="K32" s="594">
        <f>+K31</f>
        <v>0</v>
      </c>
      <c r="L32" s="594">
        <f>+L31</f>
        <v>0</v>
      </c>
      <c r="M32" s="594"/>
      <c r="N32" s="594">
        <f>+N31</f>
        <v>0</v>
      </c>
    </row>
    <row r="33" spans="2:14" x14ac:dyDescent="0.25">
      <c r="B33" s="1204"/>
      <c r="C33" s="1204"/>
      <c r="D33" s="1204"/>
      <c r="E33" s="1204"/>
      <c r="F33" s="1188" t="s">
        <v>511</v>
      </c>
      <c r="G33" s="1189"/>
      <c r="H33" s="1189"/>
      <c r="I33" s="1189"/>
      <c r="J33" s="581"/>
      <c r="K33" s="567">
        <f>+K30+K32</f>
        <v>0</v>
      </c>
      <c r="L33" s="567">
        <f>+L30+L32</f>
        <v>0</v>
      </c>
      <c r="M33" s="567"/>
      <c r="N33" s="567">
        <f t="shared" ref="N33" si="7">+N30+N32</f>
        <v>0</v>
      </c>
    </row>
    <row r="34" spans="2:14" x14ac:dyDescent="0.25">
      <c r="B34" s="1204"/>
      <c r="C34" s="1204"/>
      <c r="D34" s="1204"/>
      <c r="E34" s="1204"/>
      <c r="F34" s="1196"/>
      <c r="G34" s="1206"/>
      <c r="H34" s="597"/>
      <c r="I34" s="837"/>
      <c r="J34" s="584"/>
      <c r="K34" s="574"/>
      <c r="L34" s="585"/>
      <c r="M34" s="585"/>
      <c r="N34" s="566">
        <f>+K34+L34</f>
        <v>0</v>
      </c>
    </row>
    <row r="35" spans="2:14" x14ac:dyDescent="0.25">
      <c r="B35" s="1204"/>
      <c r="C35" s="1204"/>
      <c r="D35" s="1204"/>
      <c r="E35" s="1204"/>
      <c r="F35" s="1193"/>
      <c r="G35" s="1206"/>
      <c r="H35" s="1191" t="s">
        <v>510</v>
      </c>
      <c r="I35" s="1207"/>
      <c r="J35" s="1207"/>
      <c r="K35" s="576">
        <f>+K34</f>
        <v>0</v>
      </c>
      <c r="L35" s="576"/>
      <c r="M35" s="576"/>
      <c r="N35" s="576">
        <f>+K35+L35</f>
        <v>0</v>
      </c>
    </row>
    <row r="36" spans="2:14" x14ac:dyDescent="0.25">
      <c r="B36" s="1184"/>
      <c r="C36" s="1184"/>
      <c r="D36" s="1184"/>
      <c r="E36" s="1184"/>
      <c r="F36" s="1200" t="s">
        <v>511</v>
      </c>
      <c r="G36" s="1201"/>
      <c r="H36" s="1201"/>
      <c r="I36" s="1201"/>
      <c r="J36" s="1202"/>
      <c r="K36" s="577">
        <f>+K35</f>
        <v>0</v>
      </c>
      <c r="L36" s="577">
        <f>+L35</f>
        <v>0</v>
      </c>
      <c r="M36" s="577"/>
      <c r="N36" s="577">
        <f>+K36+L36</f>
        <v>0</v>
      </c>
    </row>
    <row r="37" spans="2:14" x14ac:dyDescent="0.25">
      <c r="B37" s="1216" t="s">
        <v>753</v>
      </c>
      <c r="C37" s="1216"/>
      <c r="D37" s="1216"/>
      <c r="E37" s="1216"/>
      <c r="F37" s="1216"/>
      <c r="G37" s="1216"/>
      <c r="H37" s="1216"/>
      <c r="I37" s="1216"/>
      <c r="J37" s="1216"/>
      <c r="K37" s="586">
        <f>+K28+K33+K36</f>
        <v>0</v>
      </c>
      <c r="L37" s="586">
        <f>+L28+L33+L36</f>
        <v>0</v>
      </c>
      <c r="M37" s="586"/>
      <c r="N37" s="586">
        <f>+K37+L37</f>
        <v>0</v>
      </c>
    </row>
    <row r="38" spans="2:14" x14ac:dyDescent="0.25">
      <c r="B38" s="1217" t="s">
        <v>748</v>
      </c>
      <c r="C38" s="1217"/>
      <c r="D38" s="1217"/>
      <c r="E38" s="1217"/>
      <c r="F38" s="1217"/>
      <c r="G38" s="1217"/>
      <c r="H38" s="1217"/>
      <c r="I38" s="1217"/>
      <c r="J38" s="1217"/>
      <c r="K38" s="587">
        <f>+K25+K37</f>
        <v>0</v>
      </c>
      <c r="L38" s="587">
        <f>+L25+L37</f>
        <v>0</v>
      </c>
      <c r="M38" s="587"/>
      <c r="N38" s="587">
        <f>+N25+N37</f>
        <v>0</v>
      </c>
    </row>
    <row r="39" spans="2:14" x14ac:dyDescent="0.25">
      <c r="B39" s="1218" t="s">
        <v>747</v>
      </c>
      <c r="C39" s="1218"/>
      <c r="D39" s="1218"/>
      <c r="E39" s="1219"/>
      <c r="F39" s="1220"/>
      <c r="G39" s="1220"/>
      <c r="H39" s="1220"/>
      <c r="I39" s="1220"/>
      <c r="J39" s="1220"/>
      <c r="K39" s="1220"/>
      <c r="L39" s="952" t="s">
        <v>501</v>
      </c>
      <c r="M39" s="952"/>
      <c r="N39" s="952"/>
    </row>
    <row r="40" spans="2:14" x14ac:dyDescent="0.25">
      <c r="B40" s="1212" t="s">
        <v>750</v>
      </c>
      <c r="C40" s="1212"/>
      <c r="D40" s="1212"/>
      <c r="E40" s="1213"/>
      <c r="F40" s="1214"/>
      <c r="G40" s="1214"/>
      <c r="H40" s="1214"/>
      <c r="I40" s="1214"/>
      <c r="J40" s="1214"/>
      <c r="K40" s="1214"/>
      <c r="L40" s="1211" t="s">
        <v>749</v>
      </c>
      <c r="M40" s="1211"/>
      <c r="N40" s="1211"/>
    </row>
    <row r="41" spans="2:14" x14ac:dyDescent="0.25">
      <c r="B41" s="1212" t="s">
        <v>751</v>
      </c>
      <c r="C41" s="1212"/>
      <c r="D41" s="1212"/>
      <c r="E41" s="1213"/>
      <c r="F41" s="1214"/>
      <c r="G41" s="1214"/>
      <c r="H41" s="1214"/>
      <c r="I41" s="1214"/>
      <c r="J41" s="1214"/>
      <c r="K41" s="1214"/>
      <c r="L41" s="550" t="s">
        <v>746</v>
      </c>
      <c r="M41" s="550"/>
      <c r="N41" s="550"/>
    </row>
    <row r="42" spans="2:14" x14ac:dyDescent="0.25">
      <c r="B42" s="1212" t="s">
        <v>752</v>
      </c>
      <c r="C42" s="1212"/>
      <c r="D42" s="1212"/>
      <c r="E42" s="1213"/>
      <c r="F42" s="1214"/>
      <c r="G42" s="1214"/>
      <c r="H42" s="1214"/>
      <c r="I42" s="1214"/>
      <c r="J42" s="1214"/>
      <c r="K42" s="1214"/>
      <c r="L42" s="1215" t="s">
        <v>531</v>
      </c>
      <c r="M42" s="1215"/>
      <c r="N42" s="1215"/>
    </row>
    <row r="43" spans="2:14" x14ac:dyDescent="0.25">
      <c r="B43" s="1173" t="s">
        <v>550</v>
      </c>
      <c r="C43" s="1173" t="s">
        <v>551</v>
      </c>
      <c r="D43" s="1173" t="s">
        <v>508</v>
      </c>
      <c r="E43" s="1173" t="s">
        <v>2</v>
      </c>
      <c r="F43" s="1173" t="s">
        <v>537</v>
      </c>
      <c r="G43" s="1173" t="s">
        <v>538</v>
      </c>
      <c r="H43" s="1173" t="s">
        <v>3</v>
      </c>
      <c r="I43" s="1173" t="s">
        <v>4</v>
      </c>
      <c r="J43" s="1173" t="s">
        <v>509</v>
      </c>
      <c r="K43" s="1175" t="s">
        <v>743</v>
      </c>
      <c r="L43" s="1176"/>
      <c r="M43" s="1177"/>
      <c r="N43" s="1178" t="s">
        <v>740</v>
      </c>
    </row>
    <row r="44" spans="2:14" ht="24.75" x14ac:dyDescent="0.25">
      <c r="B44" s="1174"/>
      <c r="C44" s="1174"/>
      <c r="D44" s="1174"/>
      <c r="E44" s="1174"/>
      <c r="F44" s="1174"/>
      <c r="G44" s="1174"/>
      <c r="H44" s="1174"/>
      <c r="I44" s="1174"/>
      <c r="J44" s="1174"/>
      <c r="K44" s="554" t="s">
        <v>742</v>
      </c>
      <c r="L44" s="554" t="s">
        <v>744</v>
      </c>
      <c r="M44" s="953" t="s">
        <v>741</v>
      </c>
      <c r="N44" s="1179"/>
    </row>
    <row r="45" spans="2:14" x14ac:dyDescent="0.25">
      <c r="B45" s="1221"/>
      <c r="C45" s="1221"/>
      <c r="D45" s="1221"/>
      <c r="E45" s="1224"/>
      <c r="F45" s="1227"/>
      <c r="G45" s="1235"/>
      <c r="H45" s="562"/>
      <c r="I45" s="948"/>
      <c r="J45" s="549"/>
      <c r="K45" s="547"/>
      <c r="L45" s="548"/>
      <c r="M45" s="548"/>
      <c r="N45" s="548">
        <f>+K45+L45</f>
        <v>0</v>
      </c>
    </row>
    <row r="46" spans="2:14" x14ac:dyDescent="0.25">
      <c r="B46" s="1222"/>
      <c r="C46" s="1222"/>
      <c r="D46" s="1222"/>
      <c r="E46" s="1225"/>
      <c r="F46" s="1228"/>
      <c r="G46" s="1236"/>
      <c r="H46" s="1237" t="s">
        <v>510</v>
      </c>
      <c r="I46" s="1237"/>
      <c r="J46" s="1237"/>
      <c r="K46" s="600">
        <f>+K45</f>
        <v>0</v>
      </c>
      <c r="L46" s="600">
        <f>+L45</f>
        <v>0</v>
      </c>
      <c r="M46" s="600">
        <f>+M45</f>
        <v>0</v>
      </c>
      <c r="N46" s="600">
        <f>+K46+L46</f>
        <v>0</v>
      </c>
    </row>
    <row r="47" spans="2:14" x14ac:dyDescent="0.25">
      <c r="B47" s="1222"/>
      <c r="C47" s="1222"/>
      <c r="D47" s="1222"/>
      <c r="E47" s="1225"/>
      <c r="F47" s="1228"/>
      <c r="G47" s="1236"/>
      <c r="H47" s="562"/>
      <c r="I47" s="948"/>
      <c r="J47" s="546"/>
      <c r="K47" s="548"/>
      <c r="L47" s="548"/>
      <c r="M47" s="548"/>
      <c r="N47" s="548">
        <f t="shared" ref="N47" si="8">+K47+L47</f>
        <v>0</v>
      </c>
    </row>
    <row r="48" spans="2:14" x14ac:dyDescent="0.25">
      <c r="B48" s="1222"/>
      <c r="C48" s="1222"/>
      <c r="D48" s="1222"/>
      <c r="E48" s="1225"/>
      <c r="F48" s="1228"/>
      <c r="G48" s="1410"/>
      <c r="H48" s="1237" t="s">
        <v>510</v>
      </c>
      <c r="I48" s="1237"/>
      <c r="J48" s="1237"/>
      <c r="K48" s="596">
        <f>+K47</f>
        <v>0</v>
      </c>
      <c r="L48" s="596">
        <f>+L47</f>
        <v>0</v>
      </c>
      <c r="M48" s="596">
        <f>+M47</f>
        <v>0</v>
      </c>
      <c r="N48" s="596">
        <f>+K48+L48</f>
        <v>0</v>
      </c>
    </row>
    <row r="49" spans="2:14" x14ac:dyDescent="0.25">
      <c r="B49" s="1223"/>
      <c r="C49" s="1223"/>
      <c r="D49" s="1223"/>
      <c r="E49" s="1226"/>
      <c r="F49" s="1229"/>
      <c r="G49" s="1238" t="s">
        <v>507</v>
      </c>
      <c r="H49" s="1239"/>
      <c r="I49" s="1239"/>
      <c r="J49" s="1240"/>
      <c r="K49" s="589">
        <f>+K46+K48</f>
        <v>0</v>
      </c>
      <c r="L49" s="589">
        <f>+L46+L48</f>
        <v>0</v>
      </c>
      <c r="M49" s="589">
        <f>+M46+M48</f>
        <v>0</v>
      </c>
      <c r="N49" s="589">
        <f>+K49+L49</f>
        <v>0</v>
      </c>
    </row>
    <row r="50" spans="2:14" x14ac:dyDescent="0.25">
      <c r="B50" s="1241" t="s">
        <v>748</v>
      </c>
      <c r="C50" s="1242"/>
      <c r="D50" s="1242"/>
      <c r="E50" s="1242"/>
      <c r="F50" s="1242"/>
      <c r="G50" s="1242"/>
      <c r="H50" s="1242"/>
      <c r="I50" s="1243"/>
      <c r="J50" s="955"/>
      <c r="K50" s="954">
        <f>+K49</f>
        <v>0</v>
      </c>
      <c r="L50" s="590">
        <f>+L49</f>
        <v>0</v>
      </c>
      <c r="M50" s="590">
        <f>+M49</f>
        <v>0</v>
      </c>
      <c r="N50" s="590">
        <f t="shared" ref="N50" si="9">+N49</f>
        <v>0</v>
      </c>
    </row>
    <row r="51" spans="2:14" x14ac:dyDescent="0.25">
      <c r="B51" s="1244" t="s">
        <v>541</v>
      </c>
      <c r="C51" s="1244"/>
      <c r="D51" s="1244"/>
      <c r="E51" s="1244"/>
      <c r="F51" s="1244"/>
      <c r="G51" s="1244"/>
      <c r="H51" s="1244"/>
      <c r="I51" s="1244"/>
      <c r="J51" s="956"/>
      <c r="K51" s="592">
        <f>+K38+K50</f>
        <v>0</v>
      </c>
      <c r="L51" s="592">
        <f>+L38+L50</f>
        <v>0</v>
      </c>
      <c r="M51" s="592">
        <f>+M38+M50</f>
        <v>0</v>
      </c>
      <c r="N51" s="592">
        <f>+K51+L51+M51</f>
        <v>0</v>
      </c>
    </row>
  </sheetData>
  <mergeCells count="95">
    <mergeCell ref="B51:I51"/>
    <mergeCell ref="H43:H44"/>
    <mergeCell ref="I43:I44"/>
    <mergeCell ref="J43:J44"/>
    <mergeCell ref="K43:M43"/>
    <mergeCell ref="G45:G48"/>
    <mergeCell ref="H46:J46"/>
    <mergeCell ref="H48:J48"/>
    <mergeCell ref="G49:J49"/>
    <mergeCell ref="B50:I50"/>
    <mergeCell ref="N43:N44"/>
    <mergeCell ref="B45:B49"/>
    <mergeCell ref="C45:C49"/>
    <mergeCell ref="D45:D49"/>
    <mergeCell ref="E45:E49"/>
    <mergeCell ref="F45:F49"/>
    <mergeCell ref="B43:B44"/>
    <mergeCell ref="C43:C44"/>
    <mergeCell ref="D43:D44"/>
    <mergeCell ref="E43:E44"/>
    <mergeCell ref="F43:F44"/>
    <mergeCell ref="G43:G44"/>
    <mergeCell ref="B40:D40"/>
    <mergeCell ref="E40:K40"/>
    <mergeCell ref="L40:N40"/>
    <mergeCell ref="B41:D41"/>
    <mergeCell ref="E41:K41"/>
    <mergeCell ref="B42:D42"/>
    <mergeCell ref="E42:K42"/>
    <mergeCell ref="L42:N42"/>
    <mergeCell ref="H35:J35"/>
    <mergeCell ref="F36:J36"/>
    <mergeCell ref="B37:J37"/>
    <mergeCell ref="B38:J38"/>
    <mergeCell ref="B39:D39"/>
    <mergeCell ref="E39:K39"/>
    <mergeCell ref="D26:D36"/>
    <mergeCell ref="H27:J27"/>
    <mergeCell ref="F28:I28"/>
    <mergeCell ref="F29:F32"/>
    <mergeCell ref="G29:G32"/>
    <mergeCell ref="H30:J30"/>
    <mergeCell ref="H32:J32"/>
    <mergeCell ref="B26:B36"/>
    <mergeCell ref="C26:C36"/>
    <mergeCell ref="E26:E36"/>
    <mergeCell ref="F26:F27"/>
    <mergeCell ref="G26:G27"/>
    <mergeCell ref="F33:I33"/>
    <mergeCell ref="F34:F35"/>
    <mergeCell ref="G34:G35"/>
    <mergeCell ref="B25:J25"/>
    <mergeCell ref="D12:D24"/>
    <mergeCell ref="F14:J14"/>
    <mergeCell ref="F15:F20"/>
    <mergeCell ref="G15:G20"/>
    <mergeCell ref="H16:J16"/>
    <mergeCell ref="H18:J18"/>
    <mergeCell ref="F21:J21"/>
    <mergeCell ref="H13:J13"/>
    <mergeCell ref="F22:F23"/>
    <mergeCell ref="G22:G23"/>
    <mergeCell ref="H23:J23"/>
    <mergeCell ref="F24:J24"/>
    <mergeCell ref="B12:B24"/>
    <mergeCell ref="C12:C24"/>
    <mergeCell ref="E12:E24"/>
    <mergeCell ref="F12:F13"/>
    <mergeCell ref="G12:G13"/>
    <mergeCell ref="B8:D8"/>
    <mergeCell ref="E8:N8"/>
    <mergeCell ref="B10:B11"/>
    <mergeCell ref="C10:C11"/>
    <mergeCell ref="D10:D11"/>
    <mergeCell ref="E10:E11"/>
    <mergeCell ref="F10:F11"/>
    <mergeCell ref="G10:G11"/>
    <mergeCell ref="H10:H11"/>
    <mergeCell ref="I10:I11"/>
    <mergeCell ref="J10:J11"/>
    <mergeCell ref="K10:M10"/>
    <mergeCell ref="N10:N11"/>
    <mergeCell ref="B7:D7"/>
    <mergeCell ref="E7:N7"/>
    <mergeCell ref="B2:L2"/>
    <mergeCell ref="B3:D3"/>
    <mergeCell ref="E3:K3"/>
    <mergeCell ref="B4:D4"/>
    <mergeCell ref="E4:K4"/>
    <mergeCell ref="L4:N4"/>
    <mergeCell ref="B5:D5"/>
    <mergeCell ref="E5:K5"/>
    <mergeCell ref="B6:D6"/>
    <mergeCell ref="E6:K6"/>
    <mergeCell ref="L6:N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Plan de Compras-2013</vt:lpstr>
      <vt:lpstr>Versión 6 </vt:lpstr>
      <vt:lpstr>plan de addquisiciones</vt:lpstr>
      <vt:lpstr>Hoja1</vt:lpstr>
      <vt:lpstr>Hoja2</vt:lpstr>
      <vt:lpstr>formato</vt:lpstr>
      <vt:lpstr>'Versión 6 '!Área_de_impresión</vt:lpstr>
      <vt:lpstr>'Plan de Compras-2013'!Títulos_a_imprimir</vt:lpstr>
      <vt:lpstr>'Versión 6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Adriana Correa Guarín</cp:lastModifiedBy>
  <cp:lastPrinted>2019-10-28T16:54:27Z</cp:lastPrinted>
  <dcterms:created xsi:type="dcterms:W3CDTF">2013-11-26T11:49:28Z</dcterms:created>
  <dcterms:modified xsi:type="dcterms:W3CDTF">2019-10-29T11:34:42Z</dcterms:modified>
</cp:coreProperties>
</file>